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My Drive\Logistic and Operation 2025\"/>
    </mc:Choice>
  </mc:AlternateContent>
  <bookViews>
    <workbookView xWindow="0" yWindow="0" windowWidth="23016" windowHeight="8832"/>
  </bookViews>
  <sheets>
    <sheet name="SUMMARY" sheetId="1" r:id="rId1"/>
    <sheet name="MCH BOQ rev" sheetId="13" r:id="rId2"/>
    <sheet name="EPI BLOCK rev" sheetId="16" r:id="rId3"/>
    <sheet name="Triage and Meeting Hall" sheetId="24" r:id="rId4"/>
    <sheet name="Emergency Block BOQ rev" sheetId="15" r:id="rId5"/>
    <sheet name=" OPD BOQrev" sheetId="19" r:id="rId6"/>
  </sheets>
  <externalReferences>
    <externalReference r:id="rId7"/>
  </externalReferences>
  <definedNames>
    <definedName name="_con25" localSheetId="3">#REF!</definedName>
    <definedName name="_con25">#REF!</definedName>
    <definedName name="_hcb20" localSheetId="3">#REF!</definedName>
    <definedName name="_hcb20">#REF!</definedName>
    <definedName name="abel" localSheetId="3">#REF!</definedName>
    <definedName name="abel">#REF!</definedName>
    <definedName name="ceiling" localSheetId="3">#REF!</definedName>
    <definedName name="ceiling">#REF!</definedName>
    <definedName name="cemic" localSheetId="3">#REF!</definedName>
    <definedName name="cemic">#REF!</definedName>
    <definedName name="cisheet" localSheetId="3">#REF!</definedName>
    <definedName name="cisheet">#REF!</definedName>
    <definedName name="D" localSheetId="3">#REF!</definedName>
    <definedName name="D">#REF!</definedName>
    <definedName name="f" localSheetId="3">#REF!</definedName>
    <definedName name="f">#REF!</definedName>
    <definedName name="FAHRABMNH" localSheetId="3">#REF!</definedName>
    <definedName name="FAHRABMNH">#REF!</definedName>
    <definedName name="FF" localSheetId="3">#REF!</definedName>
    <definedName name="FF">#REF!</definedName>
    <definedName name="fff" localSheetId="3">#REF!</definedName>
    <definedName name="fff">#REF!</definedName>
    <definedName name="ficotp" localSheetId="3">#REF!</definedName>
    <definedName name="ficotp">#REF!</definedName>
    <definedName name="flortil" localSheetId="3">#REF!</definedName>
    <definedName name="flortil">#REF!</definedName>
    <definedName name="formw" localSheetId="3">#REF!</definedName>
    <definedName name="formw">#REF!</definedName>
    <definedName name="ftt" localSheetId="3">#REF!</definedName>
    <definedName name="ftt">#REF!</definedName>
    <definedName name="GG" localSheetId="3">#REF!</definedName>
    <definedName name="GG">#REF!</definedName>
    <definedName name="glaz" localSheetId="3">#REF!</definedName>
    <definedName name="glaz">#REF!</definedName>
    <definedName name="gslabc20" localSheetId="3">#REF!</definedName>
    <definedName name="gslabc20">#REF!</definedName>
    <definedName name="hard" localSheetId="3">#REF!</definedName>
    <definedName name="hard">#REF!</definedName>
    <definedName name="hhhh" localSheetId="3">#REF!</definedName>
    <definedName name="hhhh">#REF!</definedName>
    <definedName name="hy" localSheetId="3">#REF!</definedName>
    <definedName name="hy">#REF!</definedName>
    <definedName name="K" localSheetId="3">#REF!</definedName>
    <definedName name="K">#REF!</definedName>
    <definedName name="KERA" localSheetId="3">#REF!</definedName>
    <definedName name="KERA">#REF!</definedName>
    <definedName name="KJHL" localSheetId="3">#REF!</definedName>
    <definedName name="KJHL">#REF!</definedName>
    <definedName name="kkkk" localSheetId="3">#REF!</definedName>
    <definedName name="kkkk">#REF!</definedName>
    <definedName name="kll" localSheetId="3">#REF!</definedName>
    <definedName name="kll">#REF!</definedName>
    <definedName name="KMJH" localSheetId="3">#REF!</definedName>
    <definedName name="KMJH">#REF!</definedName>
    <definedName name="L" localSheetId="3">#REF!</definedName>
    <definedName name="L">#REF!</definedName>
    <definedName name="LIBRA" localSheetId="3">#REF!</definedName>
    <definedName name="LIBRA">#REF!</definedName>
    <definedName name="masa" localSheetId="3">#REF!</definedName>
    <definedName name="masa">#REF!</definedName>
    <definedName name="masb" localSheetId="3">#REF!</definedName>
    <definedName name="masb">#REF!</definedName>
    <definedName name="paint" localSheetId="3">#REF!</definedName>
    <definedName name="paint">#REF!</definedName>
    <definedName name="point" localSheetId="3">#REF!</definedName>
    <definedName name="point">#REF!</definedName>
    <definedName name="_xlnm.Print_Area" localSheetId="5">' OPD BOQrev'!$A$1:$F$23</definedName>
    <definedName name="_xlnm.Print_Area" localSheetId="4">'Emergency Block BOQ rev'!$A$1:$F$38</definedName>
    <definedName name="_xlnm.Print_Area" localSheetId="2">'EPI BLOCK rev'!$A$1:$F$24</definedName>
    <definedName name="_xlnm.Print_Area" localSheetId="1">'MCH BOQ rev'!$A$1:$F$45</definedName>
    <definedName name="_xlnm.Print_Area" localSheetId="0">SUMMARY!$A$1:$E$12</definedName>
    <definedName name="_xlnm.Print_Area" localSheetId="3">'Triage and Meeting Hall'!$A$1:$F$20</definedName>
    <definedName name="_xlnm.Print_Titles" localSheetId="1">'MCH BOQ rev'!$1:$3</definedName>
    <definedName name="ptli" localSheetId="3">#REF!</definedName>
    <definedName name="ptli">#REF!</definedName>
    <definedName name="RE" localSheetId="3">#REF!</definedName>
    <definedName name="RE">#REF!</definedName>
    <definedName name="rei" localSheetId="3">#REF!</definedName>
    <definedName name="rei">#REF!</definedName>
    <definedName name="rende" localSheetId="3">#REF!</definedName>
    <definedName name="rende">#REF!</definedName>
    <definedName name="REWDF" localSheetId="3">#REF!</definedName>
    <definedName name="REWDF">#REF!</definedName>
    <definedName name="REWDFGBC" localSheetId="3">#REF!</definedName>
    <definedName name="REWDFGBC">#REF!</definedName>
    <definedName name="RS" localSheetId="3">#REF!</definedName>
    <definedName name="RS">#REF!</definedName>
    <definedName name="RSEDFG" localSheetId="3">#REF!</definedName>
    <definedName name="RSEDFG">#REF!</definedName>
    <definedName name="S" localSheetId="3">#REF!</definedName>
    <definedName name="S">#REF!</definedName>
    <definedName name="screed" localSheetId="3">#REF!</definedName>
    <definedName name="screed">#REF!</definedName>
    <definedName name="SharpDisposalTO" localSheetId="3">#REF!</definedName>
    <definedName name="SharpDisposalTO">#REF!</definedName>
    <definedName name="ss." localSheetId="3">#REF!</definedName>
    <definedName name="ss.">#REF!</definedName>
    <definedName name="TR" localSheetId="3">#REF!</definedName>
    <definedName name="TR">#REF!</definedName>
    <definedName name="TREW" localSheetId="3">#REF!</definedName>
    <definedName name="TREW">#REF!</definedName>
    <definedName name="TRH" localSheetId="3">#REF!</definedName>
    <definedName name="TRH">#REF!</definedName>
    <definedName name="TRHGF" localSheetId="3">#REF!</definedName>
    <definedName name="TRHGF">#REF!</definedName>
    <definedName name="TT" localSheetId="3">#REF!</definedName>
    <definedName name="TT">#REF!</definedName>
    <definedName name="TTT" localSheetId="3">#REF!</definedName>
    <definedName name="TTT">#REF!</definedName>
    <definedName name="WD" localSheetId="3">#REF!</definedName>
    <definedName name="WD">#REF!</definedName>
    <definedName name="WE" localSheetId="3">#REF!</definedName>
    <definedName name="WE">#REF!</definedName>
    <definedName name="WEE" localSheetId="3">#REF!</definedName>
    <definedName name="WEE">#REF!</definedName>
    <definedName name="zzz156" localSheetId="3">'[1]Grand Summary'!#REF!</definedName>
    <definedName name="zzz156">'[1]Grand Summary'!#REF!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5" i="15" l="1"/>
  <c r="F12" i="16"/>
  <c r="F22" i="16" l="1"/>
  <c r="F23" i="16" s="1"/>
  <c r="F8" i="24"/>
  <c r="F9" i="24"/>
  <c r="F10" i="24"/>
  <c r="F11" i="24"/>
  <c r="F12" i="24"/>
  <c r="F13" i="24"/>
  <c r="F14" i="24"/>
  <c r="F15" i="24"/>
  <c r="F16" i="24"/>
  <c r="F17" i="24"/>
  <c r="F18" i="24"/>
  <c r="F19" i="24"/>
  <c r="D44" i="13"/>
  <c r="F7" i="15"/>
  <c r="F24" i="15"/>
  <c r="F23" i="15"/>
  <c r="F22" i="15"/>
  <c r="F21" i="15"/>
  <c r="F20" i="15"/>
  <c r="F19" i="15"/>
  <c r="F18" i="15"/>
  <c r="F44" i="13" l="1"/>
  <c r="F7" i="24" l="1"/>
  <c r="F20" i="24" s="1"/>
  <c r="E6" i="1" s="1"/>
  <c r="F21" i="19" l="1"/>
  <c r="F22" i="19" s="1"/>
  <c r="F42" i="13"/>
  <c r="D18" i="13" l="1"/>
  <c r="F18" i="13" s="1"/>
  <c r="F41" i="13" l="1"/>
  <c r="F40" i="13"/>
  <c r="D12" i="13"/>
  <c r="F12" i="13" s="1"/>
  <c r="F35" i="13"/>
  <c r="F26" i="13"/>
  <c r="F25" i="13"/>
  <c r="F22" i="13"/>
  <c r="F23" i="13"/>
  <c r="F21" i="13"/>
  <c r="F7" i="13"/>
  <c r="F5" i="13"/>
  <c r="F33" i="13"/>
  <c r="F31" i="13"/>
  <c r="F32" i="13"/>
  <c r="F29" i="13"/>
  <c r="F28" i="13"/>
  <c r="F30" i="13"/>
  <c r="D6" i="13"/>
  <c r="D11" i="13"/>
  <c r="F6" i="13" l="1"/>
  <c r="F36" i="15" l="1"/>
  <c r="F37" i="15" s="1"/>
  <c r="K11" i="16" l="1"/>
  <c r="J11" i="16"/>
  <c r="I11" i="16"/>
  <c r="M10" i="16"/>
  <c r="K10" i="16"/>
  <c r="J10" i="16"/>
  <c r="I10" i="16"/>
  <c r="M7" i="16"/>
  <c r="M6" i="16"/>
  <c r="J6" i="16"/>
  <c r="I6" i="16"/>
  <c r="I7" i="16"/>
  <c r="H7" i="16"/>
  <c r="H6" i="16"/>
  <c r="I7" i="19" l="1"/>
  <c r="H7" i="19"/>
  <c r="J6" i="19"/>
  <c r="I6" i="19"/>
  <c r="H6" i="19"/>
  <c r="K6" i="19" l="1"/>
  <c r="F10" i="16" l="1"/>
  <c r="D7" i="19" l="1"/>
  <c r="D6" i="19"/>
  <c r="F11" i="16" l="1"/>
  <c r="D8" i="15"/>
  <c r="F34" i="13"/>
  <c r="D9" i="13" l="1"/>
  <c r="D10" i="13" s="1"/>
  <c r="D8" i="13"/>
  <c r="D13" i="13" l="1"/>
  <c r="D12" i="15"/>
  <c r="D11" i="15"/>
  <c r="O9" i="13"/>
  <c r="F37" i="13" l="1"/>
  <c r="F38" i="13"/>
  <c r="F39" i="13"/>
  <c r="F18" i="16"/>
  <c r="F19" i="16"/>
  <c r="F16" i="16"/>
  <c r="F20" i="16" s="1"/>
  <c r="F15" i="15"/>
  <c r="F11" i="15"/>
  <c r="F12" i="15"/>
  <c r="F13" i="15"/>
  <c r="F8" i="15"/>
  <c r="F17" i="19"/>
  <c r="F18" i="19"/>
  <c r="F15" i="19"/>
  <c r="F19" i="19" s="1"/>
  <c r="F10" i="19"/>
  <c r="F11" i="19"/>
  <c r="E30" i="15"/>
  <c r="F30" i="15" s="1"/>
  <c r="E31" i="15"/>
  <c r="F7" i="16"/>
  <c r="F6" i="16"/>
  <c r="D8" i="19"/>
  <c r="F8" i="19" s="1"/>
  <c r="F7" i="19"/>
  <c r="F6" i="19"/>
  <c r="F12" i="19" l="1"/>
  <c r="F23" i="19" s="1"/>
  <c r="F13" i="16"/>
  <c r="F24" i="16" s="1"/>
  <c r="D16" i="15"/>
  <c r="F16" i="15" s="1"/>
  <c r="D10" i="15"/>
  <c r="F10" i="15" s="1"/>
  <c r="F9" i="13"/>
  <c r="D9" i="15"/>
  <c r="F9" i="15" s="1"/>
  <c r="F26" i="15" s="1"/>
  <c r="F8" i="13"/>
  <c r="E5" i="1" l="1"/>
  <c r="E8" i="1"/>
  <c r="D17" i="13"/>
  <c r="F17" i="13" s="1"/>
  <c r="D16" i="13"/>
  <c r="F16" i="13" s="1"/>
  <c r="F14" i="13"/>
  <c r="R13" i="13"/>
  <c r="Q11" i="13"/>
  <c r="R11" i="13" s="1"/>
  <c r="R14" i="13" s="1"/>
  <c r="F13" i="13"/>
  <c r="F11" i="13"/>
  <c r="L9" i="13"/>
  <c r="F10" i="13"/>
  <c r="F45" i="13" l="1"/>
  <c r="E4" i="1" s="1"/>
  <c r="F31" i="15"/>
  <c r="F32" i="15"/>
  <c r="F33" i="15" l="1"/>
  <c r="F38" i="15" l="1"/>
  <c r="E7" i="1" s="1"/>
  <c r="E9" i="1" s="1"/>
  <c r="E10" i="1" s="1"/>
  <c r="E11" i="1" s="1"/>
</calcChain>
</file>

<file path=xl/sharedStrings.xml><?xml version="1.0" encoding="utf-8"?>
<sst xmlns="http://schemas.openxmlformats.org/spreadsheetml/2006/main" count="340" uniqueCount="170">
  <si>
    <t>ITEM</t>
  </si>
  <si>
    <t>DESCRIPTION</t>
  </si>
  <si>
    <t>UNIT</t>
  </si>
  <si>
    <t>QUANTITY</t>
  </si>
  <si>
    <t>RATE</t>
  </si>
  <si>
    <t>PAINTING</t>
  </si>
  <si>
    <t xml:space="preserve">To all internal wall and ceiling surface.
</t>
  </si>
  <si>
    <t xml:space="preserve">To external wall surface.
</t>
  </si>
  <si>
    <t xml:space="preserve"> ELECTRICAL INSTALLATION</t>
  </si>
  <si>
    <t>pcs</t>
  </si>
  <si>
    <t>2</t>
  </si>
  <si>
    <t xml:space="preserve">Apply three  coats of plastic emulsion paint. Price shall include pre - cleaning &amp; preparation of the surface. Remove all chalky surface, loose paint, dirt and other contaminants by wire brushing or by using paint remover. The area should be cleared/cleaned before and after the construction work.Painting colour shall be approved by the Engineer.
</t>
  </si>
  <si>
    <t>SUB TOTAL FOR ELECTRICAL WORK ETH BIRR</t>
  </si>
  <si>
    <t>Pcs</t>
  </si>
  <si>
    <t>SUB TOTAL FOR ELECTRIC WORK ETH BIRR</t>
  </si>
  <si>
    <t>GRAND SUMMARY</t>
  </si>
  <si>
    <t>Birr</t>
  </si>
  <si>
    <t>15% VAT</t>
  </si>
  <si>
    <t>GRAND TOTAL</t>
  </si>
  <si>
    <t>MCH</t>
  </si>
  <si>
    <t xml:space="preserve">TOTAL </t>
  </si>
  <si>
    <t>2.1.1</t>
  </si>
  <si>
    <t>2.1.2</t>
  </si>
  <si>
    <t>2.1.3</t>
  </si>
  <si>
    <t>S/NO</t>
  </si>
  <si>
    <t>2.1.4</t>
  </si>
  <si>
    <t>1.3</t>
  </si>
  <si>
    <t>AMOUNT</t>
  </si>
  <si>
    <t>1</t>
  </si>
  <si>
    <t>FINISHING WORK</t>
  </si>
  <si>
    <t>1.2.1</t>
  </si>
  <si>
    <t>1.2.2</t>
  </si>
  <si>
    <t>TOTAL SUM</t>
  </si>
  <si>
    <t>SUB TOTAL FOR FINISHING WORK ETH BIRR</t>
  </si>
  <si>
    <t>Supply and fix 8 mm thick chip wood ceilings as per the engineers approval. With new  40 x 50 mm Zigba wood battens with c/c spacing of 600 mm both ways, middle and corner list,  and all other necessary accessories.</t>
  </si>
  <si>
    <t>EMERGENCY BLOCK</t>
  </si>
  <si>
    <t>High-quality bamboo poles, 4 cm diameter, 3m long</t>
  </si>
  <si>
    <t>Rust-resistant nails for securing frames</t>
  </si>
  <si>
    <t>pack</t>
  </si>
  <si>
    <t>For vertical Eucalyptus wood, 2" x 2" x 3m, treated</t>
  </si>
  <si>
    <t>For Horizontal Eucalyptus wood, 2" x 2" x 3m, treated</t>
  </si>
  <si>
    <t>m</t>
  </si>
  <si>
    <t>L</t>
  </si>
  <si>
    <t>W</t>
  </si>
  <si>
    <t>H</t>
  </si>
  <si>
    <t>Q</t>
  </si>
  <si>
    <t>Deduct</t>
  </si>
  <si>
    <t xml:space="preserve">Metal Work </t>
  </si>
  <si>
    <t xml:space="preserve"> Main gate door Hing welding And maintenace of door making fuctional </t>
  </si>
  <si>
    <t>Approved 200x300x8mm thick With Adhesive Powder  glazed ceramic floor tiles, to be installed on a cement mortarbacking (1:3), with joints grouted in white cement, including surface preparation, cleaning,leveling, and proper alignment as  parfect Engineer Aproval"</t>
  </si>
  <si>
    <t>Approved 300x600x8mm thickAdhesive glazed ceramic wall tiles, to be installed on a cement mortarbacking (1:3), with joints grouted in white cement, including surface preparation, cleaning,leveling, and proper alignment as per design requirements."</t>
  </si>
  <si>
    <t xml:space="preserve"> OPD BLOCK</t>
  </si>
  <si>
    <t xml:space="preserve"> WINDOWS</t>
  </si>
  <si>
    <t>DOORS</t>
  </si>
  <si>
    <t>Door Relocation and Insatalation Type  D1 = size: 2800x1200mm</t>
  </si>
  <si>
    <t>Window Relocation and InstalationType  W1 = size: 2100x1500MM</t>
  </si>
  <si>
    <t>SUB TOTAL FORFINISHING WORK ETH BIRR</t>
  </si>
  <si>
    <t>1.3.4</t>
  </si>
  <si>
    <t>3</t>
  </si>
  <si>
    <t>1.1</t>
  </si>
  <si>
    <t>1.1.1</t>
  </si>
  <si>
    <t>1.1.2</t>
  </si>
  <si>
    <t>1.1.3</t>
  </si>
  <si>
    <t>1.1.4</t>
  </si>
  <si>
    <t>2.1</t>
  </si>
  <si>
    <t>2.2</t>
  </si>
  <si>
    <t>2.3</t>
  </si>
  <si>
    <t>2.4</t>
  </si>
  <si>
    <t>2.5</t>
  </si>
  <si>
    <t>Finsihing work</t>
  </si>
  <si>
    <t>3.1</t>
  </si>
  <si>
    <t>3.2</t>
  </si>
  <si>
    <t xml:space="preserve">Prepare and apply three coats of approved washable paint—such as Vinyl Type II, Latex Paint, Acrylic Paints, or any equivalent type recommended for healthcare buildings—to internal plastered walls, beams, and columns, ensuring the paint provides a hard, non-porous finish that is free from joints, easy to wash, and able to withstand repeated contact with strong cleaning agents, with three coats of plastic emulsion paint applied; the price shall include pre-cleaning and surface preparation, including the removal of chalky surfaces, loose paint, dirt, and contaminants by wire brushing or paint remover, with the area cleared and cleaned before and after construction work, and the painting color approved by the Engineer, covering all external wall surfaces, internal walls, and ceiling surfaces
</t>
  </si>
  <si>
    <t>Inspect, repair, upgrade, and test existing electrical systems, including power distribution boards with circuit breakers, light fittings with lamps, switches, outlets, and other required items and accessories. The contractor shall inspect all existing lines, conduits, and junction boxes, and supply any necessary accessories or replacements to ensure the system meets industry standards. All replacement or additional items shall comply with industry standards and be of approved equivalent types.</t>
  </si>
  <si>
    <t xml:space="preserve"> ELECTRICAL MINTENANCE </t>
  </si>
  <si>
    <t>OPD BLOCK REHABILITATION</t>
  </si>
  <si>
    <t>SPECIFICATION AND BILL OF QUANTITY</t>
  </si>
  <si>
    <r>
      <t>m</t>
    </r>
    <r>
      <rPr>
        <i/>
        <vertAlign val="superscript"/>
        <sz val="12"/>
        <color theme="1"/>
        <rFont val="Times New Roman"/>
        <family val="1"/>
      </rPr>
      <t>2</t>
    </r>
  </si>
  <si>
    <t>Maintenance and replacement of damaged chipwood ceiling boards with new 8mm thick chipwood boards of the same type and quality as the existing ceiling, fixed using 4x5mm battens and high-quality accessories such as nails, screws, and adhesives. The contractor shall inspect the existing ceiling, remove damaged Ceilling boards, and install new chipwood boards to match the existing alignment and finish. After installation, the new chipwood boards shall be painted with three coats of approved washable paint (Vinyl Type II, Latex Paint, Acrylic Paint, or equivalent) to achieve a hard, non-porous, and easy-to-clean finish, with the painting color approved by the Engineer. The work shall include all necessary activities such as surface preparation, installation, painting, and cleanup, ensuring the area is left clean and ready for use upon completion. All materials and workmanship shall comply with  standards and be approved by the Engineer.</t>
  </si>
  <si>
    <t>Supply and istall ceiling Fun USHA  or Equivalent with fitting Approved by the Engineer. With all accessories and all necessary works</t>
  </si>
  <si>
    <t xml:space="preserve">Removal of existing door keys, replacement with new keys, and provision of additional spare keys as specified. The contractor shall supply high-quality, durable keys and locks made of materials such as brass or stainless steel, ensuring compatibility with the existing locking mechanism. The work shall involve removing the existing keys, inspecting the locking mechanism for damage or wear, and either replacing or rekeying the lock cylinder to accommodate the new keys. A minimum of three new keys shall be provided per lock (one for use and two spares). The contractor shall test the new keys to ensure smooth operation of the lock and hand over all keys to the designated authority, along with a demonstration of their functionality. All work shall comply with industry standards, and the final output shall be approved by the Engineer.
</t>
  </si>
  <si>
    <t>supply, welding, and installation of high-quality hinges for windows, doors, and main gates, using durable, corrosion-resistant materials such as stainless steel or powder-coated steel. The contractor shall inspect existing hinges, remove damaged or defective ones, and weld new hinges securely to the frames, ensuring proper alignment and smooth operation. Welding shall be performed using high-quality welding rods compatible with the hinge and frame materials, with all surfaces cleaned of rust, debris, or old weld residues prior to welding. After welding, the joints shall be ground, polished, and coated with anti-rust paint or finish for added protection. The contractor shall ensure all welded hinges are tested for smooth operation and durability, and the work shall comply with industry standards and be approved by the Engineer. This specification applies to hinges for windows, doors, and main gates.</t>
  </si>
  <si>
    <t>G28 ribbed sheet ceiling under eave nailed to Zigba purlins. Price shall include 40 x 50 mm Zigba wood battens with c/c spacing of 600 mm both ways, corner list and all other necessary accessories</t>
  </si>
  <si>
    <t>No</t>
  </si>
  <si>
    <t>ml</t>
  </si>
  <si>
    <t>Surface mounted, Water proof single Socket with cover</t>
  </si>
  <si>
    <t>2.1.3.1</t>
  </si>
  <si>
    <t>Installing and fixing Socket outlets(surface mounted leg rand type):Surface mounted socket outlets of 10/16Amp 1-Phase with earthing contacts fed through PVC insulated copper conductors of 3x2.5mm2 in rigid PVC conduits min. diameter of 13.5mm including junction boxes with cover and screw type connectors.All installation should be surface mounted and installed using tracking for Sockets,The Work includes all Testing and Commissioning with system</t>
  </si>
  <si>
    <t>7W Flush-Mounted LED Panel Light and Fitting,30*30cm</t>
  </si>
  <si>
    <t>EPI /STAFF HOUSE BLOCK REHABILITATION</t>
  </si>
  <si>
    <t>Inspect, repair, upgrade, and test existing electrical systems, including power distribution boards with circuit breakers, light fittings with lamps, switches, outlets, and other required items and accessories. The contractor shall inspect all existing lines, conduits, and junction boxes, and supply any necessary accessories or replacements to ensure the system meets  standards. All replacement or additional items shall comply with industry standards and be of approved equivalent types.</t>
  </si>
  <si>
    <t>7W Flush-Mounted LED Panel Light 30*30cm and Fitting,</t>
  </si>
  <si>
    <r>
      <t>a) Type  D1</t>
    </r>
    <r>
      <rPr>
        <i/>
        <vertAlign val="subscript"/>
        <sz val="12"/>
        <color theme="2" tint="-0.89999084444715716"/>
        <rFont val="Times New Roman"/>
        <family val="1"/>
      </rPr>
      <t xml:space="preserve"> </t>
    </r>
    <r>
      <rPr>
        <i/>
        <sz val="12"/>
        <color theme="2" tint="-0.89999084444715716"/>
        <rFont val="Times New Roman"/>
        <family val="1"/>
      </rPr>
      <t>= size: 2800x1200mm</t>
    </r>
  </si>
  <si>
    <t>Tk</t>
  </si>
  <si>
    <t>Apply one coat and a second coat of plastering using cement-sand mortar (1:3), followed by a third coat of gypsum plastering. Price includes pre-cleaning, chiseling, and surface preparation.</t>
  </si>
  <si>
    <t>Demolish the existing Hollow Concrete Block (HCB) wall using appropriate tools (e.g., jackhammers or sledgehammers). Remove and dispose of debris in compliance with local regulations. Implement safety measures, including PPE and barricading, to protect workers and occupants.</t>
  </si>
  <si>
    <t>Supply and fix 8mm thick chipwood ceilings with new 40x50mm Zigba wood battens (spaced 600mm both ways), including middle and corner lists, and all necessary accessories.</t>
  </si>
  <si>
    <t>Install approved 200x300x8mm thick glazed ceramic floor tiles on cement mortar backing (1:3), with joints grouted in white cement. Includes surface preparation, cleaning, leveling, and alignment as per Engineer's approval.</t>
  </si>
  <si>
    <t xml:space="preserve">Apply three coats of plastic emulsion paint to all internal walls and ceilings. Price includes pre-cleaning, surface preparation, and removal of chalky surfaces, loose paint, and contaminants.
</t>
  </si>
  <si>
    <t xml:space="preserve"> ELECTRICAL MAINTENANCE</t>
  </si>
  <si>
    <t xml:space="preserve">SPECIFICATION AND BILL OF QUANTITY </t>
  </si>
  <si>
    <t xml:space="preserve"> Install approved 400x400x8mm thick glazed ceramic wall tiles on cement mortar backing (1:3), with joints grouted in white cement. Includes surface preparation, cleaning, leveling, and alignment as per Engineer's approval</t>
  </si>
  <si>
    <t>Maintain existing hand washings by replacing fittings and fixing of damages in the water supply system and waste disposal system till nearby manhole. All fixtures and fittings must be approved by owner before fixing by presenting samples, catalogues and brochures by the contractor. Unit Price shall include all the necessary fixing brackets or hooks and all accessories.</t>
  </si>
  <si>
    <t>Sanitary Maintenance</t>
  </si>
  <si>
    <t>Ls</t>
  </si>
  <si>
    <t>SUB TOTAL FOR FINISHING WORK ETH BIRR………………………………………………………………………………………………….</t>
  </si>
  <si>
    <t>Construct a new partition wall using 200 mm thick class-B HCB wall bedded in cement mortar mix (1:3) and both sides left for plastering. HCB quality shall be tested and approved by the Engineer.</t>
  </si>
  <si>
    <t>supply and install a floor-to-ceiling steel partition enclosure measuring 3m in height, 2m in width, and 2m in length to serve as a secure laboratory registration Area. The structure will be constructed as  in front of the laboratory registration room, designed to reach the ceiling edge for full enclosure.
The framework will utilize 50×50×3mm RHS steel posts at all four corners, connected by horizontal 40×40×2mm RHS members at 1m and 2m levels to create a rigid structure. All welds will be continuous and finished smooth. The enclosure will feature 1.2mm thick powder-coated steel panels in  divided into a 1m high solid lower section and a 2m high upper mesh section for visibility and ventilation. A 1m wide × 2.1m high outward-swinging door will be installed with three stainless steel hinges, mortise lock with keyed entry, and an adjustable door closer for controlled operation</t>
  </si>
  <si>
    <t>250mm thick basaltic or equivalent stone hard core well rolled, consolidated and blinded with crushed stone.</t>
  </si>
  <si>
    <t>Reinforced concrete quality C-25 with minimum cement content of 400kg/m3 for RHS posts</t>
  </si>
  <si>
    <t>Clearing of the site to remove top soil and other rubbish materials to an average depth of 200mm and excavation of the holes (300x300x600mm),and cartaways to the selected place in the compound of the extension Areas (14m*2m)</t>
  </si>
  <si>
    <t>Supply and erect steel column and roof  structure all according to size and shape specified on the drawing . Price shall include one coat of  primer &amp; two coats of synthetic enamel paint.</t>
  </si>
  <si>
    <t>RHS Ledger Beam (75x50x3mm, 14m)</t>
  </si>
  <si>
    <t>Rafters (50x50x3mm, 2.5m)</t>
  </si>
  <si>
    <t>Purlins (40x40x3mm, 6m)</t>
  </si>
  <si>
    <t xml:space="preserve">Anchor Bolts (M12) </t>
  </si>
  <si>
    <t>RHS Posts (80x80x3mm, 3m)</t>
  </si>
  <si>
    <t xml:space="preserve">Supply and fix G-28  EGA  04mm preecoated  roof cover. Price shall include roof ridge, Facia board   and  other accessories and incidental works. Roof cover measured in horizontal projection.  </t>
  </si>
  <si>
    <t xml:space="preserve">Metal window and doors made of 38x1.5mm LTZ with grill.Price include approved quality locks ,mesh and all iron mongry works, two coats of anti rust, three coats of synthetic paint, 1mm thick sheet metal and door stopper. </t>
  </si>
  <si>
    <t>Aluminium pannels and door profiles with 2mm thick for partition and 1.6mm thick for door and windows frame . Aluminum profile shall be of silver color with brushed finish cut and assembeled to the sizes and shapes shown on the drawing .including one waterproof seal Door size 70x210cm</t>
  </si>
  <si>
    <t>4</t>
  </si>
  <si>
    <t>5</t>
  </si>
  <si>
    <t>6</t>
  </si>
  <si>
    <t>7</t>
  </si>
  <si>
    <t>8</t>
  </si>
  <si>
    <t>9</t>
  </si>
  <si>
    <t>10</t>
  </si>
  <si>
    <t>13.1.1</t>
  </si>
  <si>
    <t>13.2.1</t>
  </si>
  <si>
    <r>
      <t>m</t>
    </r>
    <r>
      <rPr>
        <i/>
        <vertAlign val="superscript"/>
        <sz val="12"/>
        <color theme="1"/>
        <rFont val="Times New Roman"/>
        <family val="1"/>
      </rPr>
      <t>3</t>
    </r>
  </si>
  <si>
    <r>
      <t>a) Type  W1</t>
    </r>
    <r>
      <rPr>
        <i/>
        <vertAlign val="subscript"/>
        <sz val="12"/>
        <color theme="2" tint="-0.89999084444715716"/>
        <rFont val="Times New Roman"/>
        <family val="1"/>
      </rPr>
      <t xml:space="preserve"> </t>
    </r>
    <r>
      <rPr>
        <i/>
        <sz val="12"/>
        <color theme="2" tint="-0.89999084444715716"/>
        <rFont val="Times New Roman"/>
        <family val="1"/>
      </rPr>
      <t>= size: 2100x1500mm</t>
    </r>
  </si>
  <si>
    <t>complete maintenance, repair, and refurbishment of the existing stainless steel sink, including thorough inspection, cleaning, polishing, and restoration of the sink body to address any dents, scratches, or corrosion. the price includes supply and installation of a new heavy-duty chrome-plated single-lever mixing faucet, P-trap with drainage connections, overflow system, and stainless steel plug with chain, ensuring all components are properly fitted and leak-proof,The west water has to be connected to the manohole.</t>
  </si>
  <si>
    <t xml:space="preserve">supply and installation of a complete shower system featuring a ceramic-tiled floor (no pre-fabricated tray) constructed with a 75mm reinforced concrete base sloped at 1:60, waterproofed with two coats of liquid membrane (SikaTop Seal-107 or equivalent), and finished with slip-resistant ceramic tiles (300x300mm ) set in epoxy grout, and a 50mm UPVC P-trap with odor seal. Installation requires: (1) forming and curing the sloped concrete base and with all other necessary  accessories.    </t>
  </si>
  <si>
    <t>MCH BLOCK RENOVATION</t>
  </si>
  <si>
    <t>1.2</t>
  </si>
  <si>
    <t>1.4</t>
  </si>
  <si>
    <t>1.5</t>
  </si>
  <si>
    <t>1.6</t>
  </si>
  <si>
    <t>1.7</t>
  </si>
  <si>
    <t>EPI</t>
  </si>
  <si>
    <t>m²</t>
  </si>
  <si>
    <t xml:space="preserve"> GLAZING</t>
  </si>
  <si>
    <t xml:space="preserve">Supply and fix G-28 galvanized flat metal sheet gutter (Dev l=660mm).Price shall include fixing accessories, fascia board and other incidental works and 4@110 ppc down pipe </t>
  </si>
  <si>
    <t>Apply  pavement shall constructed with 80mm thick C20 concrete (1:2:4mix) cast on-site over a 100mm compacted sand, poured with 2% cross-fall for drainage. Immediately after setting, a 30mm thick C25 cement screed (1:2:3 mix) shall be applied, troweled to a smooth finish with ±2mm tolerance under a 2m straightedge. Control joints (5mm wide, at 2m intervals) shall be cut to 1/3 depth of the slab and pointed with 1:3 cement-sand mortar.</t>
  </si>
  <si>
    <t>2.6</t>
  </si>
  <si>
    <t>2.7</t>
  </si>
  <si>
    <t>3.1.1</t>
  </si>
  <si>
    <t>3.1.2</t>
  </si>
  <si>
    <t>3.1.3</t>
  </si>
  <si>
    <t>Supply and fix 4 mm thick brown glass to existing windows frame of  Dispensary room  and Laboratory room.Price shall include all the necessary fixing accessories.</t>
  </si>
  <si>
    <t>30×30×2.5mm RHS Posts (6m spacing)</t>
  </si>
  <si>
    <t>25×25×1.5mm RHS Lattice Purlins (roof/wall)</t>
  </si>
  <si>
    <t>20×20×2mm RHS Diagonal Bracing</t>
  </si>
  <si>
    <t>3.3</t>
  </si>
  <si>
    <t>Replacing damaged vertical and horizontal eucalyptus frames and bamboo coverings in the waiting area with treated eucalyptus wood and high-quality bamboo, ensuring durability, aesthetic appeal, and proper installation</t>
  </si>
  <si>
    <t>Fixed Bench Technical Specification
The contractor shall fabricate and install 20 permanent benches, each constructed with two 20cm-wide × 5cm-thick × 2m-long eucalyptus planks mounted on a 25×25×1.5mm galvanized RHS steel frame. Each bench will feature a single centered horizontal support beam (RHS) with 40cm-high legs and 45° cross-bracing (20×20mm RHS) for stability. Planks must be kiln-dried, sanded smooth, spaced 1cm apart, and secured to the frame using stainless steel screws at 30cm intervals. Benches will be anchored to concrete flooring with four M10 galvanized bolts per bench, set in epoxy adhesive, and finished with rubber leg caps.</t>
  </si>
  <si>
    <t>Triage and Meeting Hall</t>
  </si>
  <si>
    <t>Maintain existing sink by replacing fittings and fixing of damages in the water supply system and waste disposal system till nearby manhole. All fixtures and fittings must be approved by owner before fixing by presenting samples, catalogues and brochures by the contractor. Unit Price shall include all the necessary fixing brackets or hooks and all accessories.</t>
  </si>
  <si>
    <t>1.3.1</t>
  </si>
  <si>
    <t>1.3.2</t>
  </si>
  <si>
    <t xml:space="preserve">Supply and fix high quality door locks </t>
  </si>
  <si>
    <t>1.3.5</t>
  </si>
  <si>
    <t>2.8</t>
  </si>
  <si>
    <t>Execute complete door relocation services including: Careful dismantling of existing door and frame while preserving reusable components; Preparation of new opening including any necessary structural modifications per revised design; Door refurbishment (sanding, dent repair, and repainting to match existing); Installation of new hardware including three heavy-duty stainless steel hinges and a premium slender-profile lock system (specifically: a 30mm backset, brass/stainless steel construction lockset with 3 keys and matching strike plates); Precise reinstallation ensuring perfect alignment and smooth operation; and Final testing of all mechanisms.,the price includes all accessories and all necessary work.</t>
  </si>
  <si>
    <t>provide complete relocation services for two (2) existing doors (D1) measuring 2800×1200mm each and two (2) existing windows (W1) measuring 2100×1500mm each. For the doors, the scope includes careful dismantling of door frames and hardware while preserving reusable components, structural preparation of new openings to match original specifications, thorough refurbishment through sanding, filling imperfections, and repainting to match existing finishes. Each door will receive a new premium slender-profile lock system and six heavy-duty stainless steel hinges (three per door), followed by precise reinstallation ensuring perfect alignment and smooth operation. For the windows, the work involves professional removal of window units including glass, frames and fittings, preparation of new openings with any necessary structural modifications, proper installation of weatherproofing and insulation materials, careful reinstallation with operational testing of opening mechanisms, and finish trimming/painting to match surrounding surfaces.</t>
  </si>
  <si>
    <t xml:space="preserve">DESCRIPTION SUMMARY </t>
  </si>
  <si>
    <t>NGUENYYIEL CUAMM HEALTH FACILITY RENOVATION</t>
  </si>
  <si>
    <t>1.8</t>
  </si>
  <si>
    <t>1.8.1</t>
  </si>
  <si>
    <t>1.8.2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</si>
</sst>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_);_(* \(#,##0.00\);_(* &quot;-&quot;??_);_(@_)"/>
    <numFmt numFmtId="165" formatCode="_-[$€-2]\ * #,##0.00_-;\-[$€-2]\ * #,##0.00_-;_-[$€-2]\ * &quot;-&quot;??_-;_-@_-"/>
    <numFmt numFmtId="166" formatCode="_(* #,##0_);_(* \(#,##0\);_(* &quot;-&quot;??_);_(@_)"/>
    <numFmt numFmtId="167" formatCode="0.000"/>
    <numFmt numFmtId="168" formatCode="#,##0.0"/>
  </numFmts>
  <fonts count="32">
    <font>
      <sz val="11"/>
      <color theme="1"/>
      <name val="Calibri"/>
      <family val="2"/>
      <scheme val="minor"/>
    </font>
    <font>
      <sz val="11"/>
      <color theme="1"/>
      <name val="Calibri"/>
      <family val="2"/>
      <scheme val="minor"/>
    </font>
    <font>
      <b/>
      <sz val="18"/>
      <color theme="1"/>
      <name val="Times New Roman"/>
      <family val="1"/>
    </font>
    <font>
      <sz val="11"/>
      <color theme="1"/>
      <name val="Times New Roman"/>
      <family val="1"/>
    </font>
    <font>
      <b/>
      <i/>
      <sz val="12"/>
      <color theme="1"/>
      <name val="Times New Roman"/>
      <family val="1"/>
    </font>
    <font>
      <b/>
      <sz val="11"/>
      <color theme="1"/>
      <name val="Calibri"/>
      <family val="2"/>
      <scheme val="minor"/>
    </font>
    <font>
      <b/>
      <sz val="16"/>
      <color theme="1"/>
      <name val="Times New Roman"/>
      <family val="1"/>
    </font>
    <font>
      <b/>
      <sz val="14"/>
      <color theme="1"/>
      <name val="Calibri"/>
      <family val="2"/>
      <scheme val="minor"/>
    </font>
    <font>
      <sz val="10"/>
      <color theme="1"/>
      <name val="Times New Roman"/>
      <family val="1"/>
    </font>
    <font>
      <sz val="10"/>
      <name val="Arial"/>
      <family val="2"/>
    </font>
    <font>
      <sz val="10"/>
      <name val="Helv"/>
      <charset val="204"/>
    </font>
    <font>
      <b/>
      <sz val="10"/>
      <color theme="1"/>
      <name val="Times New Roman"/>
      <family val="1"/>
    </font>
    <font>
      <b/>
      <sz val="14"/>
      <color theme="1"/>
      <name val="Times New Roman"/>
      <family val="1"/>
    </font>
    <font>
      <b/>
      <u val="singleAccounting"/>
      <sz val="11"/>
      <color theme="1"/>
      <name val="Times New Roman"/>
      <family val="1"/>
    </font>
    <font>
      <i/>
      <sz val="11"/>
      <color theme="1"/>
      <name val="Times New Roman"/>
      <family val="1"/>
    </font>
    <font>
      <i/>
      <sz val="12"/>
      <color theme="1"/>
      <name val="Times New Roman"/>
      <family val="1"/>
    </font>
    <font>
      <b/>
      <i/>
      <sz val="11"/>
      <color theme="1"/>
      <name val="Times New Roman"/>
      <family val="1"/>
    </font>
    <font>
      <i/>
      <sz val="12"/>
      <name val="Times New Roman"/>
      <family val="1"/>
    </font>
    <font>
      <i/>
      <vertAlign val="superscript"/>
      <sz val="12"/>
      <color theme="1"/>
      <name val="Times New Roman"/>
      <family val="1"/>
    </font>
    <font>
      <b/>
      <i/>
      <sz val="14"/>
      <color theme="1"/>
      <name val="Times New Roman"/>
      <family val="1"/>
    </font>
    <font>
      <i/>
      <sz val="14"/>
      <name val="Times New Roman"/>
      <family val="1"/>
    </font>
    <font>
      <b/>
      <i/>
      <u val="doubleAccounting"/>
      <sz val="12"/>
      <color theme="1"/>
      <name val="Times New Roman"/>
      <family val="1"/>
    </font>
    <font>
      <i/>
      <sz val="12"/>
      <color theme="2" tint="-0.89999084444715716"/>
      <name val="Times New Roman"/>
      <family val="1"/>
    </font>
    <font>
      <b/>
      <i/>
      <sz val="18"/>
      <color theme="1"/>
      <name val="Times New Roman"/>
      <family val="1"/>
    </font>
    <font>
      <b/>
      <i/>
      <sz val="12"/>
      <color theme="2" tint="-0.89999084444715716"/>
      <name val="Times New Roman"/>
      <family val="1"/>
    </font>
    <font>
      <i/>
      <vertAlign val="subscript"/>
      <sz val="12"/>
      <color theme="2" tint="-0.89999084444715716"/>
      <name val="Times New Roman"/>
      <family val="1"/>
    </font>
    <font>
      <i/>
      <sz val="11"/>
      <color theme="1"/>
      <name val="Calibri"/>
      <family val="2"/>
      <scheme val="minor"/>
    </font>
    <font>
      <i/>
      <sz val="18"/>
      <color theme="1"/>
      <name val="Times New Roman"/>
      <family val="1"/>
    </font>
    <font>
      <b/>
      <i/>
      <sz val="12"/>
      <name val="Times New Roman"/>
      <family val="1"/>
    </font>
    <font>
      <i/>
      <sz val="24"/>
      <color theme="1"/>
      <name val="Times New Roman"/>
      <family val="1"/>
    </font>
    <font>
      <i/>
      <sz val="18"/>
      <color rgb="FF000000"/>
      <name val="Times New Roman"/>
      <family val="1"/>
    </font>
    <font>
      <b/>
      <i/>
      <u/>
      <sz val="12"/>
      <color indexed="8"/>
      <name val="Times New Roman"/>
      <family val="1"/>
    </font>
  </fonts>
  <fills count="9">
    <fill>
      <patternFill patternType="none"/>
    </fill>
    <fill>
      <patternFill patternType="gray125"/>
    </fill>
    <fill>
      <patternFill patternType="solid">
        <fgColor rgb="FFD8D8D8"/>
        <bgColor rgb="FFD8D8D8"/>
      </patternFill>
    </fill>
    <fill>
      <patternFill patternType="solid">
        <fgColor theme="0" tint="-0.14999847407452621"/>
        <bgColor rgb="FFD8D8D8"/>
      </patternFill>
    </fill>
    <fill>
      <patternFill patternType="solid">
        <fgColor theme="0" tint="-0.14999847407452621"/>
        <bgColor indexed="64"/>
      </patternFill>
    </fill>
    <fill>
      <patternFill patternType="solid">
        <fgColor theme="0"/>
        <bgColor rgb="FFD8D8D8"/>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bottom/>
      <diagonal/>
    </border>
    <border>
      <left/>
      <right/>
      <top/>
      <bottom style="medium">
        <color indexed="64"/>
      </bottom>
      <diagonal/>
    </border>
    <border>
      <left/>
      <right/>
      <top style="hair">
        <color rgb="FF000000"/>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9">
    <xf numFmtId="0" fontId="0" fillId="0" borderId="0"/>
    <xf numFmtId="0" fontId="1" fillId="0" borderId="0"/>
    <xf numFmtId="0" fontId="1" fillId="0" borderId="0"/>
    <xf numFmtId="43" fontId="1" fillId="0" borderId="0" applyFont="0" applyFill="0" applyBorder="0" applyAlignment="0" applyProtection="0"/>
    <xf numFmtId="0" fontId="10" fillId="0" borderId="0"/>
    <xf numFmtId="164" fontId="9" fillId="0" borderId="0" applyFont="0" applyFill="0" applyBorder="0" applyAlignment="0" applyProtection="0"/>
    <xf numFmtId="0" fontId="1" fillId="0" borderId="0"/>
    <xf numFmtId="43" fontId="1" fillId="0" borderId="0" applyFont="0" applyFill="0" applyBorder="0" applyAlignment="0" applyProtection="0"/>
    <xf numFmtId="43" fontId="9" fillId="0" borderId="0" applyFont="0" applyFill="0" applyBorder="0" applyAlignment="0" applyProtection="0"/>
    <xf numFmtId="0" fontId="10"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164" fontId="9" fillId="0" borderId="0" applyFont="0" applyFill="0" applyBorder="0" applyAlignment="0" applyProtection="0"/>
    <xf numFmtId="164" fontId="1" fillId="0" borderId="0" applyFont="0" applyFill="0" applyBorder="0" applyAlignment="0" applyProtection="0"/>
    <xf numFmtId="164" fontId="9" fillId="0" borderId="0" applyFont="0" applyFill="0" applyBorder="0" applyAlignment="0" applyProtection="0"/>
    <xf numFmtId="0" fontId="9" fillId="0" borderId="0"/>
  </cellStyleXfs>
  <cellXfs count="225">
    <xf numFmtId="0" fontId="0" fillId="0" borderId="0" xfId="0"/>
    <xf numFmtId="0" fontId="3" fillId="0" borderId="0" xfId="0" applyFont="1"/>
    <xf numFmtId="0" fontId="2" fillId="0" borderId="0" xfId="2" applyFont="1" applyFill="1" applyBorder="1" applyAlignment="1">
      <alignment vertical="center" wrapText="1"/>
    </xf>
    <xf numFmtId="0" fontId="3" fillId="0" borderId="0" xfId="0" applyFont="1" applyAlignment="1">
      <alignment wrapText="1"/>
    </xf>
    <xf numFmtId="43" fontId="0" fillId="0" borderId="0" xfId="3" applyFont="1"/>
    <xf numFmtId="0" fontId="5" fillId="0" borderId="0" xfId="0" applyFont="1" applyAlignment="1">
      <alignment wrapText="1"/>
    </xf>
    <xf numFmtId="0" fontId="6" fillId="0" borderId="0" xfId="2" applyFont="1" applyFill="1" applyBorder="1" applyAlignment="1">
      <alignment horizontal="left"/>
    </xf>
    <xf numFmtId="0" fontId="0" fillId="0" borderId="0" xfId="0" applyBorder="1"/>
    <xf numFmtId="165" fontId="2" fillId="0" borderId="0" xfId="2" applyNumberFormat="1" applyFont="1" applyBorder="1"/>
    <xf numFmtId="0" fontId="4" fillId="0" borderId="8" xfId="1" applyFont="1" applyBorder="1" applyAlignment="1">
      <alignment vertical="top" wrapText="1"/>
    </xf>
    <xf numFmtId="0" fontId="11" fillId="0" borderId="8" xfId="1" applyFont="1" applyBorder="1" applyAlignment="1">
      <alignment horizontal="center" vertical="center"/>
    </xf>
    <xf numFmtId="0" fontId="12" fillId="0" borderId="0" xfId="0" applyFont="1" applyAlignment="1">
      <alignment horizontal="left" vertical="top" wrapText="1"/>
    </xf>
    <xf numFmtId="0" fontId="8" fillId="0" borderId="8" xfId="1" applyFont="1" applyBorder="1" applyAlignment="1">
      <alignment horizontal="center" vertical="top"/>
    </xf>
    <xf numFmtId="0" fontId="11" fillId="0" borderId="8" xfId="0" applyFont="1" applyBorder="1" applyAlignment="1" applyProtection="1">
      <alignment horizontal="center" wrapText="1"/>
    </xf>
    <xf numFmtId="0" fontId="8" fillId="0" borderId="8" xfId="1" applyFont="1" applyBorder="1" applyAlignment="1">
      <alignment horizontal="center" vertical="center"/>
    </xf>
    <xf numFmtId="43" fontId="3" fillId="0" borderId="0" xfId="3" applyFont="1"/>
    <xf numFmtId="43" fontId="3" fillId="0" borderId="0" xfId="0" applyNumberFormat="1" applyFont="1"/>
    <xf numFmtId="0" fontId="3" fillId="0" borderId="0" xfId="0" applyFont="1" applyAlignment="1">
      <alignment horizontal="center" wrapText="1"/>
    </xf>
    <xf numFmtId="0" fontId="3" fillId="0" borderId="0" xfId="0" applyFont="1"/>
    <xf numFmtId="0" fontId="3" fillId="0" borderId="0" xfId="0" applyFont="1" applyBorder="1"/>
    <xf numFmtId="43" fontId="3" fillId="0" borderId="0" xfId="3" applyFont="1" applyBorder="1"/>
    <xf numFmtId="0" fontId="3" fillId="0" borderId="0" xfId="0" applyFont="1" applyBorder="1" applyAlignment="1">
      <alignment horizontal="center" wrapText="1"/>
    </xf>
    <xf numFmtId="0" fontId="3" fillId="0" borderId="32" xfId="0" applyFont="1" applyBorder="1"/>
    <xf numFmtId="0" fontId="3" fillId="0" borderId="32" xfId="0" applyFont="1" applyBorder="1" applyAlignment="1">
      <alignment wrapText="1"/>
    </xf>
    <xf numFmtId="0" fontId="0" fillId="0" borderId="0" xfId="0" applyAlignment="1"/>
    <xf numFmtId="0" fontId="3" fillId="0" borderId="0" xfId="0" applyFont="1" applyBorder="1" applyAlignment="1">
      <alignment wrapText="1"/>
    </xf>
    <xf numFmtId="0" fontId="4" fillId="0" borderId="8" xfId="1" applyFont="1" applyBorder="1" applyAlignment="1">
      <alignment horizontal="center" vertical="center"/>
    </xf>
    <xf numFmtId="0" fontId="4" fillId="0" borderId="8" xfId="1" applyFont="1" applyFill="1" applyBorder="1" applyAlignment="1">
      <alignment horizontal="center" vertical="top" wrapText="1"/>
    </xf>
    <xf numFmtId="43" fontId="13" fillId="0" borderId="8" xfId="3" applyFont="1" applyBorder="1"/>
    <xf numFmtId="0" fontId="4" fillId="4" borderId="8" xfId="1" applyFont="1" applyFill="1" applyBorder="1" applyAlignment="1">
      <alignment horizontal="center" vertical="center"/>
    </xf>
    <xf numFmtId="0" fontId="15" fillId="0" borderId="8" xfId="0" applyFont="1" applyBorder="1" applyAlignment="1" applyProtection="1">
      <alignment wrapText="1"/>
    </xf>
    <xf numFmtId="0" fontId="15" fillId="0" borderId="8" xfId="0" applyFont="1" applyBorder="1" applyAlignment="1">
      <alignment wrapText="1"/>
    </xf>
    <xf numFmtId="0" fontId="15" fillId="0" borderId="8" xfId="1" applyFont="1" applyBorder="1" applyAlignment="1">
      <alignment vertical="top" wrapText="1"/>
    </xf>
    <xf numFmtId="0" fontId="15" fillId="0" borderId="8" xfId="1" applyFont="1" applyBorder="1" applyAlignment="1">
      <alignment horizontal="center" vertical="top"/>
    </xf>
    <xf numFmtId="0" fontId="4" fillId="0" borderId="8" xfId="0" applyFont="1" applyBorder="1" applyAlignment="1" applyProtection="1">
      <alignment horizontal="center" wrapText="1"/>
    </xf>
    <xf numFmtId="164" fontId="15" fillId="0" borderId="8" xfId="1" applyNumberFormat="1" applyFont="1" applyBorder="1" applyAlignment="1">
      <alignment horizontal="center" wrapText="1"/>
    </xf>
    <xf numFmtId="43" fontId="15" fillId="0" borderId="8" xfId="0" applyNumberFormat="1" applyFont="1" applyBorder="1"/>
    <xf numFmtId="0" fontId="4" fillId="0" borderId="8" xfId="1" applyFont="1" applyBorder="1" applyAlignment="1">
      <alignment horizontal="center" vertical="top"/>
    </xf>
    <xf numFmtId="0" fontId="4" fillId="0" borderId="8" xfId="1" applyFont="1" applyBorder="1" applyAlignment="1">
      <alignment horizontal="left" vertical="center" wrapText="1"/>
    </xf>
    <xf numFmtId="4" fontId="15" fillId="0" borderId="8" xfId="1" applyNumberFormat="1" applyFont="1" applyBorder="1" applyAlignment="1">
      <alignment horizontal="center" vertical="center"/>
    </xf>
    <xf numFmtId="0" fontId="15" fillId="0" borderId="8" xfId="0" applyFont="1" applyBorder="1"/>
    <xf numFmtId="0" fontId="15" fillId="0" borderId="34" xfId="0" applyFont="1" applyBorder="1" applyAlignment="1">
      <alignment horizontal="left" vertical="top" wrapText="1"/>
    </xf>
    <xf numFmtId="2" fontId="4" fillId="0" borderId="8" xfId="1" applyNumberFormat="1" applyFont="1" applyBorder="1" applyAlignment="1">
      <alignment horizontal="center"/>
    </xf>
    <xf numFmtId="0" fontId="15" fillId="0" borderId="8" xfId="1" applyFont="1" applyBorder="1" applyAlignment="1">
      <alignment horizontal="center"/>
    </xf>
    <xf numFmtId="0" fontId="15" fillId="0" borderId="8" xfId="1" applyFont="1" applyBorder="1" applyAlignment="1">
      <alignment horizontal="center" vertical="center"/>
    </xf>
    <xf numFmtId="0" fontId="15" fillId="7" borderId="8" xfId="1" applyFont="1" applyFill="1" applyBorder="1" applyAlignment="1">
      <alignment vertical="top" wrapText="1"/>
    </xf>
    <xf numFmtId="0" fontId="14" fillId="0" borderId="0" xfId="0" applyFont="1"/>
    <xf numFmtId="0" fontId="15" fillId="0" borderId="0" xfId="0" applyFont="1"/>
    <xf numFmtId="49" fontId="4" fillId="2" borderId="8" xfId="1" applyNumberFormat="1" applyFont="1" applyFill="1" applyBorder="1" applyAlignment="1">
      <alignment horizontal="center" vertical="center" wrapText="1"/>
    </xf>
    <xf numFmtId="0" fontId="4" fillId="2" borderId="8" xfId="1" applyFont="1" applyFill="1" applyBorder="1" applyAlignment="1">
      <alignment horizontal="center" vertical="center" wrapText="1"/>
    </xf>
    <xf numFmtId="164" fontId="4" fillId="2" borderId="8" xfId="1" applyNumberFormat="1" applyFont="1" applyFill="1" applyBorder="1" applyAlignment="1">
      <alignment horizontal="center" vertical="center" wrapText="1"/>
    </xf>
    <xf numFmtId="164" fontId="4" fillId="3" borderId="8" xfId="1" applyNumberFormat="1" applyFont="1" applyFill="1" applyBorder="1" applyAlignment="1">
      <alignment horizontal="center" vertical="center" wrapText="1"/>
    </xf>
    <xf numFmtId="49" fontId="4" fillId="0" borderId="8" xfId="1" applyNumberFormat="1" applyFont="1" applyBorder="1" applyAlignment="1">
      <alignment horizontal="center" vertical="top" wrapText="1"/>
    </xf>
    <xf numFmtId="0" fontId="4" fillId="0" borderId="8" xfId="0" applyFont="1" applyBorder="1" applyAlignment="1" applyProtection="1">
      <alignment horizontal="left" vertical="center"/>
    </xf>
    <xf numFmtId="164" fontId="15" fillId="0" borderId="8" xfId="1" applyNumberFormat="1" applyFont="1" applyBorder="1" applyAlignment="1">
      <alignment horizontal="center" vertical="center"/>
    </xf>
    <xf numFmtId="164" fontId="15" fillId="0" borderId="8" xfId="0" applyNumberFormat="1" applyFont="1" applyBorder="1" applyAlignment="1">
      <alignment horizontal="center" vertical="center"/>
    </xf>
    <xf numFmtId="0" fontId="4" fillId="0" borderId="8" xfId="1" applyFont="1" applyBorder="1" applyAlignment="1">
      <alignment horizontal="center" vertical="top" wrapText="1"/>
    </xf>
    <xf numFmtId="0" fontId="15" fillId="0" borderId="8" xfId="0" applyFont="1" applyBorder="1" applyAlignment="1" applyProtection="1">
      <alignment horizontal="left" wrapText="1"/>
    </xf>
    <xf numFmtId="0" fontId="15" fillId="0" borderId="8" xfId="0" applyFont="1" applyBorder="1" applyAlignment="1">
      <alignment horizontal="center"/>
    </xf>
    <xf numFmtId="0" fontId="15" fillId="0" borderId="11" xfId="1" applyFont="1" applyBorder="1" applyAlignment="1">
      <alignment horizontal="center" vertical="top"/>
    </xf>
    <xf numFmtId="43" fontId="19" fillId="0" borderId="8" xfId="0" applyNumberFormat="1" applyFont="1" applyBorder="1"/>
    <xf numFmtId="0" fontId="15" fillId="6" borderId="8" xfId="1" applyFont="1" applyFill="1" applyBorder="1" applyAlignment="1">
      <alignment vertical="top" wrapText="1"/>
    </xf>
    <xf numFmtId="164" fontId="15" fillId="0" borderId="8" xfId="1" applyNumberFormat="1" applyFont="1" applyBorder="1" applyAlignment="1">
      <alignment vertical="center"/>
    </xf>
    <xf numFmtId="0" fontId="15" fillId="0" borderId="8" xfId="0" applyFont="1" applyBorder="1" applyAlignment="1">
      <alignment vertical="center"/>
    </xf>
    <xf numFmtId="0" fontId="15" fillId="0" borderId="8" xfId="0" applyFont="1" applyBorder="1" applyAlignment="1">
      <alignment horizontal="center" vertical="center"/>
    </xf>
    <xf numFmtId="0" fontId="15" fillId="0" borderId="0" xfId="0" applyFont="1" applyAlignment="1">
      <alignment wrapText="1"/>
    </xf>
    <xf numFmtId="49" fontId="4" fillId="3" borderId="8" xfId="1" applyNumberFormat="1" applyFont="1" applyFill="1" applyBorder="1" applyAlignment="1">
      <alignment horizontal="center" vertical="center" wrapText="1"/>
    </xf>
    <xf numFmtId="0" fontId="4" fillId="3" borderId="8" xfId="1" applyFont="1" applyFill="1" applyBorder="1" applyAlignment="1">
      <alignment horizontal="center" vertical="center" wrapText="1"/>
    </xf>
    <xf numFmtId="167" fontId="15" fillId="0" borderId="8" xfId="0" applyNumberFormat="1" applyFont="1" applyBorder="1" applyAlignment="1">
      <alignment horizontal="center"/>
    </xf>
    <xf numFmtId="0" fontId="15" fillId="0" borderId="8" xfId="0" applyFont="1" applyBorder="1" applyAlignment="1">
      <alignment vertical="center" wrapText="1"/>
    </xf>
    <xf numFmtId="167" fontId="15" fillId="0" borderId="8" xfId="0" applyNumberFormat="1" applyFont="1" applyBorder="1" applyAlignment="1">
      <alignment horizontal="center" vertical="center"/>
    </xf>
    <xf numFmtId="43" fontId="15" fillId="0" borderId="8" xfId="0" applyNumberFormat="1" applyFont="1" applyBorder="1" applyAlignment="1">
      <alignment vertical="center"/>
    </xf>
    <xf numFmtId="164" fontId="4" fillId="0" borderId="15" xfId="1" applyNumberFormat="1" applyFont="1" applyBorder="1" applyAlignment="1">
      <alignment horizontal="center"/>
    </xf>
    <xf numFmtId="0" fontId="17" fillId="0" borderId="16" xfId="1" applyFont="1" applyBorder="1"/>
    <xf numFmtId="0" fontId="17" fillId="0" borderId="17" xfId="1" applyFont="1" applyBorder="1"/>
    <xf numFmtId="164" fontId="15" fillId="0" borderId="8" xfId="1" applyNumberFormat="1" applyFont="1" applyBorder="1" applyAlignment="1">
      <alignment horizontal="center"/>
    </xf>
    <xf numFmtId="43" fontId="15" fillId="0" borderId="8" xfId="0" applyNumberFormat="1" applyFont="1" applyBorder="1" applyAlignment="1"/>
    <xf numFmtId="43" fontId="15" fillId="0" borderId="8" xfId="3" applyFont="1" applyBorder="1" applyAlignment="1" applyProtection="1">
      <alignment horizontal="center" wrapText="1"/>
    </xf>
    <xf numFmtId="0" fontId="15" fillId="0" borderId="8" xfId="1" applyFont="1" applyBorder="1" applyAlignment="1">
      <alignment horizontal="left" vertical="center" wrapText="1"/>
    </xf>
    <xf numFmtId="49" fontId="4" fillId="2" borderId="1"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64" fontId="4" fillId="3" borderId="3" xfId="1" applyNumberFormat="1" applyFont="1" applyFill="1" applyBorder="1" applyAlignment="1">
      <alignment horizontal="center" vertical="center" wrapText="1"/>
    </xf>
    <xf numFmtId="49" fontId="4" fillId="5" borderId="4" xfId="1" applyNumberFormat="1" applyFont="1" applyFill="1" applyBorder="1" applyAlignment="1">
      <alignment horizontal="center" vertical="center" wrapText="1"/>
    </xf>
    <xf numFmtId="0" fontId="4" fillId="5" borderId="5" xfId="1" applyFont="1" applyFill="1" applyBorder="1" applyAlignment="1">
      <alignment horizontal="center" vertical="center" wrapText="1"/>
    </xf>
    <xf numFmtId="164" fontId="4" fillId="5" borderId="5" xfId="1" applyNumberFormat="1" applyFont="1" applyFill="1" applyBorder="1" applyAlignment="1">
      <alignment horizontal="center" vertical="center" wrapText="1"/>
    </xf>
    <xf numFmtId="164" fontId="4" fillId="5" borderId="8" xfId="1" applyNumberFormat="1" applyFont="1" applyFill="1" applyBorder="1" applyAlignment="1">
      <alignment horizontal="center" vertical="center" wrapText="1"/>
    </xf>
    <xf numFmtId="164" fontId="4" fillId="5" borderId="6" xfId="1" applyNumberFormat="1" applyFont="1" applyFill="1" applyBorder="1" applyAlignment="1">
      <alignment horizontal="center" vertical="center" wrapText="1"/>
    </xf>
    <xf numFmtId="49" fontId="16" fillId="0" borderId="7" xfId="1" applyNumberFormat="1" applyFont="1" applyBorder="1" applyAlignment="1">
      <alignment horizontal="center" vertical="top" wrapText="1"/>
    </xf>
    <xf numFmtId="4" fontId="14" fillId="0" borderId="8" xfId="1" applyNumberFormat="1" applyFont="1" applyBorder="1" applyAlignment="1">
      <alignment horizontal="center" vertical="center"/>
    </xf>
    <xf numFmtId="164" fontId="14" fillId="0" borderId="8" xfId="1" applyNumberFormat="1" applyFont="1" applyBorder="1" applyAlignment="1">
      <alignment horizontal="center" vertical="center"/>
    </xf>
    <xf numFmtId="164" fontId="14" fillId="0" borderId="9" xfId="1" applyNumberFormat="1" applyFont="1" applyBorder="1" applyAlignment="1">
      <alignment horizontal="right" vertical="center"/>
    </xf>
    <xf numFmtId="0" fontId="15" fillId="0" borderId="5" xfId="1" applyFont="1" applyBorder="1" applyAlignment="1">
      <alignment horizontal="left" vertical="center" wrapText="1"/>
    </xf>
    <xf numFmtId="164" fontId="14" fillId="0" borderId="5" xfId="0" applyNumberFormat="1" applyFont="1" applyBorder="1" applyAlignment="1">
      <alignment horizontal="center" vertical="center"/>
    </xf>
    <xf numFmtId="0" fontId="14" fillId="0" borderId="11" xfId="6" applyFont="1" applyBorder="1" applyAlignment="1">
      <alignment vertical="top" wrapText="1"/>
    </xf>
    <xf numFmtId="0" fontId="15" fillId="0" borderId="8" xfId="0" applyFont="1" applyBorder="1" applyAlignment="1" applyProtection="1">
      <alignment vertical="top" wrapText="1"/>
    </xf>
    <xf numFmtId="0" fontId="15" fillId="0" borderId="8" xfId="0" applyFont="1" applyBorder="1" applyAlignment="1" applyProtection="1">
      <alignment horizontal="left" vertical="top" wrapText="1"/>
    </xf>
    <xf numFmtId="0" fontId="14" fillId="0" borderId="7" xfId="1" applyFont="1" applyBorder="1" applyAlignment="1">
      <alignment horizontal="center" vertical="top"/>
    </xf>
    <xf numFmtId="0" fontId="16" fillId="0" borderId="7" xfId="1" applyFont="1" applyBorder="1" applyAlignment="1">
      <alignment horizontal="center" vertical="top"/>
    </xf>
    <xf numFmtId="0" fontId="14" fillId="0" borderId="8" xfId="1" applyFont="1" applyBorder="1" applyAlignment="1">
      <alignment horizontal="center"/>
    </xf>
    <xf numFmtId="166" fontId="14" fillId="0" borderId="8" xfId="1" applyNumberFormat="1" applyFont="1" applyBorder="1" applyAlignment="1">
      <alignment horizontal="center" vertical="center"/>
    </xf>
    <xf numFmtId="2" fontId="16" fillId="0" borderId="7" xfId="1" applyNumberFormat="1" applyFont="1" applyBorder="1" applyAlignment="1">
      <alignment horizontal="center"/>
    </xf>
    <xf numFmtId="0" fontId="14" fillId="0" borderId="8" xfId="1" applyFont="1" applyBorder="1" applyAlignment="1">
      <alignment horizontal="center" vertical="center"/>
    </xf>
    <xf numFmtId="166" fontId="14" fillId="0" borderId="12" xfId="1" applyNumberFormat="1" applyFont="1" applyBorder="1" applyAlignment="1">
      <alignment horizontal="center" vertical="center"/>
    </xf>
    <xf numFmtId="164" fontId="14" fillId="0" borderId="10" xfId="1" applyNumberFormat="1" applyFont="1" applyBorder="1" applyAlignment="1">
      <alignment horizontal="center" vertical="center"/>
    </xf>
    <xf numFmtId="164" fontId="16" fillId="0" borderId="9" xfId="1" applyNumberFormat="1" applyFont="1" applyBorder="1" applyAlignment="1">
      <alignment wrapText="1"/>
    </xf>
    <xf numFmtId="164" fontId="14" fillId="0" borderId="8" xfId="1" applyNumberFormat="1" applyFont="1" applyBorder="1" applyAlignment="1">
      <alignment vertical="center"/>
    </xf>
    <xf numFmtId="164" fontId="14" fillId="0" borderId="5" xfId="0" applyNumberFormat="1" applyFont="1" applyBorder="1" applyAlignment="1">
      <alignment vertical="center"/>
    </xf>
    <xf numFmtId="164" fontId="14" fillId="0" borderId="9" xfId="1" applyNumberFormat="1" applyFont="1" applyBorder="1" applyAlignment="1">
      <alignment vertical="center"/>
    </xf>
    <xf numFmtId="43" fontId="0" fillId="0" borderId="0" xfId="0" applyNumberFormat="1"/>
    <xf numFmtId="0" fontId="14" fillId="6" borderId="11" xfId="6" applyFont="1" applyFill="1" applyBorder="1" applyAlignment="1">
      <alignment horizontal="left" vertical="top" wrapText="1"/>
    </xf>
    <xf numFmtId="0" fontId="15" fillId="6" borderId="8" xfId="0" applyFont="1" applyFill="1" applyBorder="1" applyAlignment="1">
      <alignment horizontal="center"/>
    </xf>
    <xf numFmtId="164" fontId="14" fillId="6" borderId="8" xfId="1" applyNumberFormat="1" applyFont="1" applyFill="1" applyBorder="1" applyAlignment="1">
      <alignment horizontal="center" vertical="center"/>
    </xf>
    <xf numFmtId="164" fontId="14" fillId="6" borderId="5" xfId="0" applyNumberFormat="1" applyFont="1" applyFill="1" applyBorder="1" applyAlignment="1">
      <alignment horizontal="center" vertical="center"/>
    </xf>
    <xf numFmtId="164" fontId="14" fillId="6" borderId="9" xfId="1" applyNumberFormat="1" applyFont="1" applyFill="1" applyBorder="1" applyAlignment="1">
      <alignment horizontal="right" vertical="center"/>
    </xf>
    <xf numFmtId="49" fontId="4" fillId="3" borderId="1" xfId="1" applyNumberFormat="1" applyFont="1" applyFill="1" applyBorder="1" applyAlignment="1">
      <alignment horizontal="center" vertical="center" wrapText="1"/>
    </xf>
    <xf numFmtId="0" fontId="4" fillId="3" borderId="2" xfId="1" applyFont="1" applyFill="1" applyBorder="1" applyAlignment="1">
      <alignment horizontal="center" vertical="center" wrapText="1"/>
    </xf>
    <xf numFmtId="164" fontId="4" fillId="3" borderId="2" xfId="1" applyNumberFormat="1" applyFont="1" applyFill="1" applyBorder="1" applyAlignment="1">
      <alignment horizontal="center" vertical="center" wrapText="1"/>
    </xf>
    <xf numFmtId="0" fontId="14" fillId="0" borderId="0" xfId="0" applyFont="1" applyBorder="1"/>
    <xf numFmtId="4" fontId="22" fillId="0" borderId="8" xfId="0" applyNumberFormat="1" applyFont="1" applyFill="1" applyBorder="1" applyAlignment="1">
      <alignment vertical="top" wrapText="1"/>
    </xf>
    <xf numFmtId="0" fontId="26" fillId="0" borderId="0" xfId="0" applyFont="1"/>
    <xf numFmtId="0" fontId="15" fillId="0" borderId="8" xfId="0" applyFont="1" applyBorder="1" applyAlignment="1" applyProtection="1">
      <alignment horizontal="left" vertical="center" wrapText="1"/>
    </xf>
    <xf numFmtId="0" fontId="15" fillId="0" borderId="8" xfId="0" applyFont="1" applyBorder="1" applyAlignment="1">
      <alignment horizontal="left" vertical="center" wrapText="1"/>
    </xf>
    <xf numFmtId="43" fontId="15" fillId="0" borderId="8" xfId="3" applyFont="1" applyBorder="1" applyAlignment="1">
      <alignment horizontal="center" vertical="center"/>
    </xf>
    <xf numFmtId="164" fontId="4" fillId="0" borderId="9" xfId="1" applyNumberFormat="1" applyFont="1" applyBorder="1" applyAlignment="1">
      <alignment horizontal="right" vertical="center"/>
    </xf>
    <xf numFmtId="0" fontId="16" fillId="8" borderId="7" xfId="1" applyFont="1" applyFill="1" applyBorder="1" applyAlignment="1">
      <alignment horizontal="center" vertical="top"/>
    </xf>
    <xf numFmtId="0" fontId="16" fillId="8" borderId="5" xfId="1" applyFont="1" applyFill="1" applyBorder="1" applyAlignment="1">
      <alignment horizontal="center" vertical="center" wrapText="1"/>
    </xf>
    <xf numFmtId="4" fontId="14" fillId="8" borderId="8" xfId="1" applyNumberFormat="1" applyFont="1" applyFill="1" applyBorder="1" applyAlignment="1">
      <alignment horizontal="center" vertical="center"/>
    </xf>
    <xf numFmtId="164" fontId="14" fillId="8" borderId="8" xfId="1" applyNumberFormat="1" applyFont="1" applyFill="1" applyBorder="1" applyAlignment="1">
      <alignment horizontal="center" vertical="center"/>
    </xf>
    <xf numFmtId="164" fontId="14" fillId="8" borderId="9" xfId="1" applyNumberFormat="1" applyFont="1" applyFill="1" applyBorder="1" applyAlignment="1">
      <alignment horizontal="right" vertical="center"/>
    </xf>
    <xf numFmtId="0" fontId="19" fillId="0" borderId="8" xfId="0" applyFont="1" applyBorder="1" applyAlignment="1">
      <alignment horizontal="center"/>
    </xf>
    <xf numFmtId="0" fontId="15" fillId="8" borderId="0" xfId="0" applyFont="1" applyFill="1"/>
    <xf numFmtId="0" fontId="19" fillId="8" borderId="8" xfId="0" applyFont="1" applyFill="1" applyBorder="1" applyAlignment="1">
      <alignment horizontal="center"/>
    </xf>
    <xf numFmtId="49" fontId="16" fillId="8" borderId="7" xfId="1" applyNumberFormat="1" applyFont="1" applyFill="1" applyBorder="1" applyAlignment="1">
      <alignment horizontal="center" vertical="top" wrapText="1"/>
    </xf>
    <xf numFmtId="0" fontId="16" fillId="8" borderId="8" xfId="0" applyFont="1" applyFill="1" applyBorder="1" applyAlignment="1" applyProtection="1">
      <alignment horizontal="left" vertical="center"/>
    </xf>
    <xf numFmtId="164" fontId="14" fillId="8" borderId="8" xfId="0" applyNumberFormat="1" applyFont="1" applyFill="1" applyBorder="1" applyAlignment="1">
      <alignment horizontal="center" vertical="center"/>
    </xf>
    <xf numFmtId="0" fontId="15" fillId="0" borderId="8" xfId="0" applyFont="1" applyBorder="1" applyAlignment="1">
      <alignment horizontal="left" wrapText="1"/>
    </xf>
    <xf numFmtId="0" fontId="23" fillId="0" borderId="22" xfId="0" applyFont="1" applyBorder="1"/>
    <xf numFmtId="0" fontId="23" fillId="0" borderId="21" xfId="2" applyFont="1" applyBorder="1" applyAlignment="1">
      <alignment vertical="center" wrapText="1"/>
    </xf>
    <xf numFmtId="0" fontId="29" fillId="0" borderId="23" xfId="0" applyFont="1" applyBorder="1"/>
    <xf numFmtId="0" fontId="30" fillId="0" borderId="1" xfId="2" applyFont="1" applyBorder="1"/>
    <xf numFmtId="0" fontId="23" fillId="0" borderId="6" xfId="2" applyFont="1" applyBorder="1" applyAlignment="1">
      <alignment horizontal="center"/>
    </xf>
    <xf numFmtId="164" fontId="27" fillId="0" borderId="25" xfId="2" applyNumberFormat="1" applyFont="1" applyBorder="1"/>
    <xf numFmtId="0" fontId="30" fillId="0" borderId="7" xfId="2" applyFont="1" applyBorder="1"/>
    <xf numFmtId="0" fontId="23" fillId="0" borderId="9" xfId="2" applyFont="1" applyBorder="1" applyAlignment="1">
      <alignment horizontal="center"/>
    </xf>
    <xf numFmtId="164" fontId="27" fillId="0" borderId="26" xfId="2" applyNumberFormat="1" applyFont="1" applyBorder="1"/>
    <xf numFmtId="0" fontId="23" fillId="0" borderId="7" xfId="2" applyFont="1" applyBorder="1" applyAlignment="1">
      <alignment horizontal="right"/>
    </xf>
    <xf numFmtId="164" fontId="23" fillId="0" borderId="26" xfId="2" applyNumberFormat="1" applyFont="1" applyBorder="1"/>
    <xf numFmtId="0" fontId="29" fillId="0" borderId="24" xfId="0" applyFont="1" applyBorder="1"/>
    <xf numFmtId="0" fontId="23" fillId="0" borderId="13" xfId="2" applyFont="1" applyBorder="1" applyAlignment="1">
      <alignment horizontal="right"/>
    </xf>
    <xf numFmtId="0" fontId="23" fillId="0" borderId="14" xfId="2" applyFont="1" applyBorder="1" applyAlignment="1">
      <alignment horizontal="center"/>
    </xf>
    <xf numFmtId="164" fontId="23" fillId="0" borderId="27" xfId="2" applyNumberFormat="1" applyFont="1" applyBorder="1"/>
    <xf numFmtId="0" fontId="15" fillId="6" borderId="8" xfId="0" applyFont="1" applyFill="1" applyBorder="1" applyAlignment="1">
      <alignment vertical="center" wrapText="1"/>
    </xf>
    <xf numFmtId="0" fontId="15" fillId="0" borderId="8" xfId="0" applyFont="1" applyBorder="1" applyAlignment="1">
      <alignment horizontal="center" vertical="center" wrapText="1"/>
    </xf>
    <xf numFmtId="2" fontId="15" fillId="0" borderId="8" xfId="0" applyNumberFormat="1" applyFont="1" applyBorder="1" applyAlignment="1">
      <alignment horizontal="center" vertical="center" wrapText="1"/>
    </xf>
    <xf numFmtId="0" fontId="15" fillId="0" borderId="31" xfId="0" applyFont="1" applyBorder="1"/>
    <xf numFmtId="43" fontId="21" fillId="0" borderId="9" xfId="0" applyNumberFormat="1" applyFont="1" applyBorder="1"/>
    <xf numFmtId="49" fontId="4" fillId="5" borderId="8" xfId="1" applyNumberFormat="1" applyFont="1" applyFill="1" applyBorder="1" applyAlignment="1">
      <alignment horizontal="center" vertical="center" wrapText="1"/>
    </xf>
    <xf numFmtId="0" fontId="15" fillId="0" borderId="8" xfId="6" applyFont="1" applyBorder="1" applyAlignment="1">
      <alignment vertical="top" wrapText="1"/>
    </xf>
    <xf numFmtId="0" fontId="15" fillId="0" borderId="8" xfId="6" applyFont="1" applyBorder="1" applyAlignment="1">
      <alignment horizontal="left" vertical="top" wrapText="1"/>
    </xf>
    <xf numFmtId="4" fontId="24" fillId="0" borderId="8" xfId="9" applyNumberFormat="1" applyFont="1" applyFill="1" applyBorder="1" applyAlignment="1">
      <alignment horizontal="justify" vertical="top" wrapText="1"/>
    </xf>
    <xf numFmtId="0" fontId="15" fillId="0" borderId="8" xfId="0" applyFont="1" applyBorder="1" applyAlignment="1">
      <alignment horizontal="left" vertical="top" wrapText="1"/>
    </xf>
    <xf numFmtId="43" fontId="15" fillId="0" borderId="0" xfId="0" applyNumberFormat="1" applyFont="1"/>
    <xf numFmtId="0" fontId="4" fillId="5" borderId="8" xfId="1" applyFont="1" applyFill="1" applyBorder="1" applyAlignment="1">
      <alignment horizontal="center" vertical="center" wrapText="1"/>
    </xf>
    <xf numFmtId="0" fontId="15" fillId="5" borderId="8" xfId="1" applyFont="1" applyFill="1" applyBorder="1" applyAlignment="1">
      <alignment horizontal="left" vertical="center" wrapText="1"/>
    </xf>
    <xf numFmtId="0" fontId="15" fillId="5" borderId="8" xfId="1" applyFont="1" applyFill="1" applyBorder="1" applyAlignment="1">
      <alignment vertical="center" wrapText="1"/>
    </xf>
    <xf numFmtId="164" fontId="15" fillId="5" borderId="8" xfId="1" applyNumberFormat="1" applyFont="1" applyFill="1" applyBorder="1" applyAlignment="1">
      <alignment horizontal="center" vertical="center" wrapText="1"/>
    </xf>
    <xf numFmtId="0" fontId="15" fillId="5" borderId="8" xfId="1" applyFont="1" applyFill="1" applyBorder="1" applyAlignment="1">
      <alignment horizontal="center" vertical="center" wrapText="1"/>
    </xf>
    <xf numFmtId="0" fontId="15" fillId="5" borderId="8" xfId="1" applyFont="1" applyFill="1" applyBorder="1" applyAlignment="1">
      <alignment horizontal="left" wrapText="1"/>
    </xf>
    <xf numFmtId="164" fontId="15" fillId="5" borderId="11" xfId="1" applyNumberFormat="1" applyFont="1" applyFill="1" applyBorder="1" applyAlignment="1">
      <alignment horizontal="center" vertical="center" wrapText="1"/>
    </xf>
    <xf numFmtId="0" fontId="4" fillId="0" borderId="8" xfId="1" applyFont="1" applyBorder="1" applyAlignment="1">
      <alignment horizontal="center"/>
    </xf>
    <xf numFmtId="0" fontId="4" fillId="0" borderId="8" xfId="0" applyFont="1" applyBorder="1" applyAlignment="1" applyProtection="1">
      <alignment horizontal="center" wrapText="1"/>
    </xf>
    <xf numFmtId="168" fontId="31" fillId="0" borderId="8" xfId="0" applyNumberFormat="1" applyFont="1" applyFill="1" applyBorder="1" applyAlignment="1">
      <alignment horizontal="left" vertical="center" wrapText="1"/>
    </xf>
    <xf numFmtId="168" fontId="28" fillId="0" borderId="8" xfId="0" applyNumberFormat="1" applyFont="1" applyFill="1" applyBorder="1" applyAlignment="1">
      <alignment horizontal="center"/>
    </xf>
    <xf numFmtId="2" fontId="28" fillId="0" borderId="8" xfId="0" applyNumberFormat="1" applyFont="1" applyFill="1" applyBorder="1" applyAlignment="1"/>
    <xf numFmtId="164" fontId="17" fillId="0" borderId="8" xfId="14" applyFont="1" applyFill="1" applyBorder="1" applyAlignment="1"/>
    <xf numFmtId="164" fontId="17" fillId="0" borderId="9" xfId="14" applyFont="1" applyFill="1" applyBorder="1" applyAlignment="1"/>
    <xf numFmtId="4" fontId="17" fillId="0" borderId="8" xfId="0" applyNumberFormat="1" applyFont="1" applyFill="1" applyBorder="1" applyAlignment="1">
      <alignment horizontal="justify" vertical="top" wrapText="1"/>
    </xf>
    <xf numFmtId="168" fontId="17" fillId="0" borderId="8" xfId="0" applyNumberFormat="1" applyFont="1" applyFill="1" applyBorder="1" applyAlignment="1">
      <alignment horizontal="center"/>
    </xf>
    <xf numFmtId="2" fontId="17" fillId="0" borderId="8" xfId="0" applyNumberFormat="1" applyFont="1" applyFill="1" applyBorder="1" applyAlignment="1"/>
    <xf numFmtId="0" fontId="17" fillId="0" borderId="16" xfId="1" applyFont="1" applyBorder="1" applyAlignment="1">
      <alignment horizontal="center"/>
    </xf>
    <xf numFmtId="0" fontId="15" fillId="8" borderId="0" xfId="0" applyFont="1" applyFill="1" applyAlignment="1">
      <alignment horizontal="center"/>
    </xf>
    <xf numFmtId="0" fontId="15" fillId="0" borderId="0" xfId="0" applyFont="1" applyAlignment="1">
      <alignment horizontal="center"/>
    </xf>
    <xf numFmtId="4" fontId="17" fillId="0" borderId="8" xfId="0" applyNumberFormat="1" applyFont="1" applyFill="1" applyBorder="1" applyAlignment="1" applyProtection="1">
      <alignment horizontal="justify" vertical="top"/>
    </xf>
    <xf numFmtId="4" fontId="17" fillId="0" borderId="8" xfId="0" applyNumberFormat="1" applyFont="1" applyFill="1" applyBorder="1" applyAlignment="1">
      <alignment horizontal="justify" vertical="top"/>
    </xf>
    <xf numFmtId="0" fontId="17" fillId="0" borderId="8" xfId="0" applyFont="1" applyFill="1" applyBorder="1" applyAlignment="1">
      <alignment horizontal="center"/>
    </xf>
    <xf numFmtId="4" fontId="17" fillId="0" borderId="8" xfId="17" applyNumberFormat="1" applyFont="1" applyFill="1" applyBorder="1" applyAlignment="1">
      <alignment horizontal="center"/>
    </xf>
    <xf numFmtId="1" fontId="17" fillId="0" borderId="8" xfId="11" applyNumberFormat="1" applyFont="1" applyFill="1" applyBorder="1" applyAlignment="1" applyProtection="1">
      <alignment horizontal="center"/>
    </xf>
    <xf numFmtId="0" fontId="15" fillId="0" borderId="8" xfId="1" applyFont="1" applyBorder="1" applyAlignment="1" applyProtection="1">
      <alignment horizontal="left" vertical="top" wrapText="1"/>
    </xf>
    <xf numFmtId="164" fontId="4" fillId="0" borderId="30" xfId="1" applyNumberFormat="1" applyFont="1" applyBorder="1" applyAlignment="1"/>
    <xf numFmtId="0" fontId="6" fillId="0" borderId="0" xfId="0" applyFont="1" applyAlignment="1">
      <alignment horizontal="center"/>
    </xf>
    <xf numFmtId="0" fontId="23" fillId="0" borderId="28" xfId="2" applyFont="1" applyBorder="1" applyAlignment="1">
      <alignment horizontal="center" vertical="center" wrapText="1"/>
    </xf>
    <xf numFmtId="0" fontId="23" fillId="0" borderId="29" xfId="2" applyFont="1" applyBorder="1" applyAlignment="1">
      <alignment horizontal="center" vertical="center" wrapText="1"/>
    </xf>
    <xf numFmtId="0" fontId="23" fillId="0" borderId="0" xfId="2" applyFont="1" applyAlignment="1">
      <alignment horizontal="center"/>
    </xf>
    <xf numFmtId="0" fontId="23" fillId="0" borderId="0" xfId="2" applyFont="1" applyBorder="1" applyAlignment="1">
      <alignment horizontal="center"/>
    </xf>
    <xf numFmtId="165" fontId="7" fillId="0" borderId="0" xfId="0" applyNumberFormat="1" applyFont="1" applyAlignment="1">
      <alignment horizontal="left" vertical="center" wrapText="1"/>
    </xf>
    <xf numFmtId="0" fontId="7" fillId="0" borderId="0" xfId="0" applyFont="1" applyAlignment="1">
      <alignment horizontal="left" vertical="center" wrapText="1"/>
    </xf>
    <xf numFmtId="164" fontId="19" fillId="0" borderId="15" xfId="1" applyNumberFormat="1" applyFont="1" applyBorder="1" applyAlignment="1">
      <alignment horizontal="center"/>
    </xf>
    <xf numFmtId="0" fontId="20" fillId="0" borderId="16" xfId="1" applyFont="1" applyBorder="1"/>
    <xf numFmtId="0" fontId="20" fillId="0" borderId="17" xfId="1" applyFont="1" applyBorder="1"/>
    <xf numFmtId="0" fontId="4" fillId="0" borderId="8" xfId="0" applyFont="1" applyBorder="1" applyAlignment="1" applyProtection="1">
      <alignment horizontal="center" wrapText="1"/>
    </xf>
    <xf numFmtId="164" fontId="19" fillId="0" borderId="35" xfId="1" applyNumberFormat="1" applyFont="1" applyBorder="1" applyAlignment="1">
      <alignment horizontal="center"/>
    </xf>
    <xf numFmtId="164" fontId="19" fillId="0" borderId="21" xfId="1" applyNumberFormat="1" applyFont="1" applyBorder="1" applyAlignment="1">
      <alignment horizontal="center"/>
    </xf>
    <xf numFmtId="164" fontId="19" fillId="0" borderId="36" xfId="1" applyNumberFormat="1" applyFont="1" applyBorder="1" applyAlignment="1">
      <alignment horizontal="center"/>
    </xf>
    <xf numFmtId="0" fontId="15" fillId="0" borderId="8" xfId="0" applyFont="1" applyBorder="1" applyAlignment="1" applyProtection="1">
      <alignment horizontal="center" vertical="center" wrapText="1"/>
    </xf>
    <xf numFmtId="0" fontId="15" fillId="0" borderId="8" xfId="1" applyFont="1" applyFill="1" applyBorder="1" applyAlignment="1">
      <alignment horizontal="center" vertical="top" wrapText="1"/>
    </xf>
    <xf numFmtId="0" fontId="4" fillId="4" borderId="8" xfId="1" applyFont="1" applyFill="1" applyBorder="1" applyAlignment="1">
      <alignment horizontal="center" vertical="center"/>
    </xf>
    <xf numFmtId="164" fontId="4" fillId="0" borderId="30" xfId="1" applyNumberFormat="1" applyFont="1" applyBorder="1" applyAlignment="1">
      <alignment horizontal="center"/>
    </xf>
    <xf numFmtId="164" fontId="4" fillId="0" borderId="15" xfId="1" applyNumberFormat="1" applyFont="1" applyBorder="1" applyAlignment="1">
      <alignment horizontal="center"/>
    </xf>
    <xf numFmtId="0" fontId="17" fillId="0" borderId="16" xfId="1" applyFont="1" applyBorder="1"/>
    <xf numFmtId="0" fontId="17" fillId="0" borderId="17" xfId="1" applyFont="1" applyBorder="1"/>
    <xf numFmtId="164" fontId="4" fillId="0" borderId="33" xfId="1" applyNumberFormat="1" applyFont="1" applyBorder="1" applyAlignment="1">
      <alignment horizontal="center"/>
    </xf>
    <xf numFmtId="0" fontId="16" fillId="0" borderId="20" xfId="1" applyFont="1" applyBorder="1" applyAlignment="1">
      <alignment horizontal="center" vertical="center" wrapText="1"/>
    </xf>
    <xf numFmtId="0" fontId="16" fillId="0" borderId="18" xfId="1" applyFont="1" applyBorder="1" applyAlignment="1">
      <alignment horizontal="center" vertical="center" wrapText="1"/>
    </xf>
    <xf numFmtId="0" fontId="16" fillId="0" borderId="19" xfId="1" applyFont="1" applyBorder="1" applyAlignment="1">
      <alignment horizontal="center" vertical="center" wrapText="1"/>
    </xf>
    <xf numFmtId="0" fontId="16" fillId="0" borderId="11" xfId="0" applyFont="1" applyBorder="1" applyAlignment="1" applyProtection="1">
      <alignment horizontal="center" wrapText="1"/>
    </xf>
    <xf numFmtId="0" fontId="16" fillId="0" borderId="12" xfId="0" applyFont="1" applyBorder="1" applyAlignment="1" applyProtection="1">
      <alignment horizontal="center" wrapText="1"/>
    </xf>
    <xf numFmtId="0" fontId="16" fillId="0" borderId="10" xfId="0" applyFont="1" applyBorder="1" applyAlignment="1" applyProtection="1">
      <alignment horizontal="center" wrapText="1"/>
    </xf>
    <xf numFmtId="0" fontId="28" fillId="0" borderId="35" xfId="1" applyFont="1" applyBorder="1" applyAlignment="1">
      <alignment horizontal="center"/>
    </xf>
    <xf numFmtId="0" fontId="28" fillId="0" borderId="21" xfId="1" applyFont="1" applyBorder="1" applyAlignment="1">
      <alignment horizontal="center"/>
    </xf>
    <xf numFmtId="0" fontId="28" fillId="0" borderId="36" xfId="1" applyFont="1" applyBorder="1" applyAlignment="1">
      <alignment horizontal="center"/>
    </xf>
    <xf numFmtId="164" fontId="19" fillId="0" borderId="30" xfId="1" applyNumberFormat="1" applyFont="1" applyBorder="1" applyAlignment="1">
      <alignment horizontal="center"/>
    </xf>
    <xf numFmtId="1" fontId="4" fillId="4" borderId="11" xfId="1" applyNumberFormat="1" applyFont="1" applyFill="1" applyBorder="1" applyAlignment="1">
      <alignment horizontal="center" wrapText="1"/>
    </xf>
    <xf numFmtId="1" fontId="4" fillId="4" borderId="12" xfId="1" applyNumberFormat="1" applyFont="1" applyFill="1" applyBorder="1" applyAlignment="1">
      <alignment horizontal="center" wrapText="1"/>
    </xf>
    <xf numFmtId="1" fontId="4" fillId="4" borderId="10" xfId="1" applyNumberFormat="1" applyFont="1" applyFill="1" applyBorder="1" applyAlignment="1">
      <alignment horizontal="center" wrapText="1"/>
    </xf>
  </cellXfs>
  <cellStyles count="19">
    <cellStyle name="Comma" xfId="3" builtinId="3"/>
    <cellStyle name="Comma 10" xfId="14"/>
    <cellStyle name="Comma 11" xfId="11"/>
    <cellStyle name="Comma 2" xfId="5"/>
    <cellStyle name="Comma 2 2" xfId="8"/>
    <cellStyle name="Comma 2 2 2" xfId="17"/>
    <cellStyle name="Comma 3" xfId="7"/>
    <cellStyle name="Comma 4" xfId="16"/>
    <cellStyle name="Comma 5" xfId="15"/>
    <cellStyle name="Normal" xfId="0" builtinId="0"/>
    <cellStyle name="Normal 2" xfId="1"/>
    <cellStyle name="Normal 2 2" xfId="6"/>
    <cellStyle name="Normal 2 3" xfId="10"/>
    <cellStyle name="Normal 3" xfId="2"/>
    <cellStyle name="Normal 3 2 2" xfId="12"/>
    <cellStyle name="Normal 3 3" xfId="13"/>
    <cellStyle name="Normal 7" xfId="18"/>
    <cellStyle name="Normal_EEPCO" xfId="9"/>
    <cellStyle name="Style 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uamm\AppData\Roaming\Microsoft\Excel\Fixed%20Price%20Z1%20HC%20BOQ%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kdown"/>
      <sheetName val="Phase I list"/>
      <sheetName val="Grand Summary"/>
      <sheetName val="IP(NExp)"/>
      <sheetName val="OPD(NExp)"/>
      <sheetName val=" WR(NExp)"/>
      <sheetName val="TO(NExp)"/>
      <sheetName val="VIP.LAT"/>
      <sheetName val="VIP. SH"/>
      <sheetName val="Medical Store(NExp)"/>
      <sheetName val="Incinerator(NExp)"/>
      <sheetName val="Fence(NExp)"/>
      <sheetName val="Placenta Pit(NExp)"/>
      <sheetName val="Summary (NExp)"/>
      <sheetName val="SN SW"/>
      <sheetName val="IP (Exp)"/>
      <sheetName val="OPD (Exp)"/>
      <sheetName val=" WR (Exp)"/>
      <sheetName val="TO (Exp)"/>
      <sheetName val="Medical Store(Exp)"/>
      <sheetName val="Incinerator(Exp)"/>
      <sheetName val="Fence(Exp)"/>
      <sheetName val="Placenta Pit(Exp)"/>
      <sheetName val="Summary (Exp)"/>
      <sheetName val="Sheet10"/>
      <sheetName val="Production"/>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G14"/>
  <sheetViews>
    <sheetView tabSelected="1" view="pageBreakPreview" zoomScaleNormal="100" zoomScaleSheetLayoutView="100" workbookViewId="0">
      <selection activeCell="C5" sqref="C5"/>
    </sheetView>
  </sheetViews>
  <sheetFormatPr defaultRowHeight="14.4"/>
  <cols>
    <col min="3" max="3" width="77.44140625" customWidth="1"/>
    <col min="4" max="4" width="13.44140625" customWidth="1"/>
    <col min="5" max="5" width="29.44140625" customWidth="1"/>
    <col min="6" max="6" width="19.5546875" customWidth="1"/>
    <col min="7" max="7" width="12.77734375" bestFit="1" customWidth="1"/>
  </cols>
  <sheetData>
    <row r="1" spans="2:7" ht="22.2">
      <c r="B1" s="120"/>
      <c r="C1" s="193" t="s">
        <v>166</v>
      </c>
      <c r="D1" s="193"/>
      <c r="E1" s="193"/>
    </row>
    <row r="2" spans="2:7" ht="22.8" thickBot="1">
      <c r="B2" s="120"/>
      <c r="C2" s="194" t="s">
        <v>15</v>
      </c>
      <c r="D2" s="194"/>
      <c r="E2" s="194"/>
    </row>
    <row r="3" spans="2:7" ht="23.4" thickBot="1">
      <c r="B3" s="137" t="s">
        <v>24</v>
      </c>
      <c r="C3" s="138" t="s">
        <v>165</v>
      </c>
      <c r="D3" s="191" t="s">
        <v>27</v>
      </c>
      <c r="E3" s="192"/>
      <c r="F3" s="2"/>
    </row>
    <row r="4" spans="2:7" ht="30.6">
      <c r="B4" s="139">
        <v>1</v>
      </c>
      <c r="C4" s="140" t="s">
        <v>19</v>
      </c>
      <c r="D4" s="141" t="s">
        <v>16</v>
      </c>
      <c r="E4" s="142">
        <f>'MCH BOQ rev'!F45</f>
        <v>0</v>
      </c>
    </row>
    <row r="5" spans="2:7" ht="30.6">
      <c r="B5" s="139">
        <v>2</v>
      </c>
      <c r="C5" s="143" t="s">
        <v>139</v>
      </c>
      <c r="D5" s="144" t="s">
        <v>16</v>
      </c>
      <c r="E5" s="145">
        <f>'EPI BLOCK rev'!F24</f>
        <v>0</v>
      </c>
    </row>
    <row r="6" spans="2:7" ht="30.6">
      <c r="B6" s="139">
        <v>3</v>
      </c>
      <c r="C6" s="143" t="s">
        <v>156</v>
      </c>
      <c r="D6" s="144" t="s">
        <v>16</v>
      </c>
      <c r="E6" s="145">
        <f>'Triage and Meeting Hall'!F20</f>
        <v>0</v>
      </c>
      <c r="G6" s="4"/>
    </row>
    <row r="7" spans="2:7" ht="30.6">
      <c r="B7" s="139">
        <v>4</v>
      </c>
      <c r="C7" s="143" t="s">
        <v>35</v>
      </c>
      <c r="D7" s="144" t="s">
        <v>16</v>
      </c>
      <c r="E7" s="145">
        <f>'Emergency Block BOQ rev'!F38</f>
        <v>0</v>
      </c>
      <c r="G7" s="109"/>
    </row>
    <row r="8" spans="2:7" ht="30.6">
      <c r="B8" s="139">
        <v>5</v>
      </c>
      <c r="C8" s="143" t="s">
        <v>51</v>
      </c>
      <c r="D8" s="144" t="s">
        <v>16</v>
      </c>
      <c r="E8" s="145">
        <f>' OPD BOQrev'!F23</f>
        <v>0</v>
      </c>
    </row>
    <row r="9" spans="2:7" ht="30.6">
      <c r="B9" s="139"/>
      <c r="C9" s="146" t="s">
        <v>20</v>
      </c>
      <c r="D9" s="144" t="s">
        <v>16</v>
      </c>
      <c r="E9" s="147">
        <f>SUM(E4:E8)</f>
        <v>0</v>
      </c>
    </row>
    <row r="10" spans="2:7" ht="30.6">
      <c r="B10" s="139"/>
      <c r="C10" s="146" t="s">
        <v>17</v>
      </c>
      <c r="D10" s="144" t="s">
        <v>16</v>
      </c>
      <c r="E10" s="147">
        <f>E9*0.15</f>
        <v>0</v>
      </c>
    </row>
    <row r="11" spans="2:7" ht="31.2" thickBot="1">
      <c r="B11" s="148"/>
      <c r="C11" s="149" t="s">
        <v>18</v>
      </c>
      <c r="D11" s="150" t="s">
        <v>16</v>
      </c>
      <c r="E11" s="151">
        <f>E10+E9</f>
        <v>0</v>
      </c>
      <c r="F11" s="4"/>
    </row>
    <row r="12" spans="2:7" ht="22.8">
      <c r="D12" s="7"/>
      <c r="E12" s="8"/>
    </row>
    <row r="13" spans="2:7" ht="33.6" customHeight="1">
      <c r="B13" s="5"/>
      <c r="C13" s="11"/>
      <c r="D13" s="195"/>
      <c r="E13" s="196"/>
      <c r="F13" s="196"/>
    </row>
    <row r="14" spans="2:7" ht="20.399999999999999">
      <c r="C14" s="6"/>
      <c r="D14" s="190"/>
      <c r="E14" s="190"/>
    </row>
  </sheetData>
  <mergeCells count="5">
    <mergeCell ref="D14:E14"/>
    <mergeCell ref="D3:E3"/>
    <mergeCell ref="C1:E1"/>
    <mergeCell ref="C2:E2"/>
    <mergeCell ref="D13:F13"/>
  </mergeCells>
  <pageMargins left="0.70866141732283472" right="0.70866141732283472" top="0.74803149606299213" bottom="0.74803149606299213" header="0.31496062992125984" footer="0.31496062992125984"/>
  <pageSetup paperSize="9" scale="94" orientation="landscape" verticalDpi="300" r:id="rId1"/>
  <headerFooter>
    <oddHeader>&amp;L&amp;F&amp;R&amp;P/&amp;N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45"/>
  <sheetViews>
    <sheetView view="pageBreakPreview" topLeftCell="A40" zoomScale="80" zoomScaleNormal="100" zoomScaleSheetLayoutView="80" zoomScalePageLayoutView="80" workbookViewId="0">
      <selection activeCell="B11" sqref="B11"/>
    </sheetView>
  </sheetViews>
  <sheetFormatPr defaultColWidth="8.88671875" defaultRowHeight="13.8"/>
  <cols>
    <col min="1" max="1" width="11.6640625" style="1" customWidth="1"/>
    <col min="2" max="2" width="80.77734375" style="1" customWidth="1"/>
    <col min="3" max="3" width="12.33203125" style="1" customWidth="1"/>
    <col min="4" max="4" width="13.44140625" style="1" customWidth="1"/>
    <col min="5" max="5" width="14.44140625" style="1" customWidth="1"/>
    <col min="6" max="6" width="29.33203125" style="1" customWidth="1"/>
    <col min="7" max="7" width="2.5546875" style="1" customWidth="1"/>
    <col min="8" max="8" width="3.6640625" style="1" customWidth="1"/>
    <col min="9" max="10" width="7.5546875" style="1" hidden="1" customWidth="1"/>
    <col min="11" max="11" width="15.5546875" style="3" hidden="1" customWidth="1"/>
    <col min="12" max="12" width="5.6640625" style="1" hidden="1" customWidth="1"/>
    <col min="13" max="13" width="3.21875" style="1" hidden="1" customWidth="1"/>
    <col min="14" max="14" width="12" style="1" hidden="1" customWidth="1"/>
    <col min="15" max="15" width="12.109375" style="1" hidden="1" customWidth="1"/>
    <col min="16" max="16" width="4" style="1" hidden="1" customWidth="1"/>
    <col min="17" max="17" width="7.88671875" style="1" hidden="1" customWidth="1"/>
    <col min="18" max="19" width="0" style="1" hidden="1" customWidth="1"/>
    <col min="20" max="16384" width="8.88671875" style="1"/>
  </cols>
  <sheetData>
    <row r="1" spans="1:18" ht="18.600000000000001" thickBot="1">
      <c r="A1" s="197" t="s">
        <v>100</v>
      </c>
      <c r="B1" s="198"/>
      <c r="C1" s="198"/>
      <c r="D1" s="198"/>
      <c r="E1" s="198"/>
      <c r="F1" s="199"/>
      <c r="G1" s="46"/>
    </row>
    <row r="2" spans="1:18" s="18" customFormat="1" ht="18.600000000000001" thickBot="1">
      <c r="A2" s="201" t="s">
        <v>133</v>
      </c>
      <c r="B2" s="202"/>
      <c r="C2" s="202"/>
      <c r="D2" s="202"/>
      <c r="E2" s="202"/>
      <c r="F2" s="203"/>
      <c r="G2" s="46"/>
      <c r="K2" s="3"/>
    </row>
    <row r="3" spans="1:18" ht="16.2" customHeight="1">
      <c r="A3" s="115" t="s">
        <v>0</v>
      </c>
      <c r="B3" s="116" t="s">
        <v>1</v>
      </c>
      <c r="C3" s="116" t="s">
        <v>2</v>
      </c>
      <c r="D3" s="117" t="s">
        <v>3</v>
      </c>
      <c r="E3" s="117" t="s">
        <v>4</v>
      </c>
      <c r="F3" s="82" t="s">
        <v>27</v>
      </c>
      <c r="G3" s="46"/>
    </row>
    <row r="4" spans="1:18" s="18" customFormat="1" ht="16.2" customHeight="1">
      <c r="A4" s="83"/>
      <c r="B4" s="84"/>
      <c r="C4" s="84"/>
      <c r="D4" s="85"/>
      <c r="E4" s="85"/>
      <c r="F4" s="87"/>
      <c r="G4" s="46"/>
      <c r="K4" s="3"/>
    </row>
    <row r="5" spans="1:18" s="18" customFormat="1" ht="61.2" customHeight="1">
      <c r="A5" s="157" t="s">
        <v>28</v>
      </c>
      <c r="B5" s="119" t="s">
        <v>110</v>
      </c>
      <c r="C5" s="64" t="s">
        <v>104</v>
      </c>
      <c r="D5" s="153">
        <v>1</v>
      </c>
      <c r="E5" s="153"/>
      <c r="F5" s="54">
        <f>E5*D5</f>
        <v>0</v>
      </c>
      <c r="G5" s="46"/>
      <c r="K5" s="3"/>
    </row>
    <row r="6" spans="1:18" s="18" customFormat="1" ht="45" customHeight="1">
      <c r="A6" s="157" t="s">
        <v>10</v>
      </c>
      <c r="B6" s="119" t="s">
        <v>108</v>
      </c>
      <c r="C6" s="64" t="s">
        <v>77</v>
      </c>
      <c r="D6" s="154">
        <f>14*2</f>
        <v>28</v>
      </c>
      <c r="E6" s="154"/>
      <c r="F6" s="123">
        <f t="shared" ref="F6:F7" si="0">E6*D6</f>
        <v>0</v>
      </c>
      <c r="G6" s="46"/>
      <c r="K6" s="3"/>
    </row>
    <row r="7" spans="1:18" s="18" customFormat="1" ht="42.6" customHeight="1">
      <c r="A7" s="157" t="s">
        <v>58</v>
      </c>
      <c r="B7" s="136" t="s">
        <v>109</v>
      </c>
      <c r="C7" s="64" t="s">
        <v>129</v>
      </c>
      <c r="D7" s="154">
        <v>0.45</v>
      </c>
      <c r="E7" s="154"/>
      <c r="F7" s="123">
        <f t="shared" si="0"/>
        <v>0</v>
      </c>
      <c r="G7" s="46"/>
      <c r="K7" s="3"/>
    </row>
    <row r="8" spans="1:18" ht="78" customHeight="1">
      <c r="A8" s="157" t="s">
        <v>120</v>
      </c>
      <c r="B8" s="78" t="s">
        <v>95</v>
      </c>
      <c r="C8" s="64" t="s">
        <v>77</v>
      </c>
      <c r="D8" s="154">
        <f>(9.6*2.8+13.14*2.7+1.41*2.8*2)-(1.2*2.8*3+1.5*1.8*5)</f>
        <v>46.674000000000007</v>
      </c>
      <c r="E8" s="154"/>
      <c r="F8" s="123">
        <f>E8*D8</f>
        <v>0</v>
      </c>
      <c r="G8" s="46"/>
    </row>
    <row r="9" spans="1:18" ht="79.2" customHeight="1">
      <c r="A9" s="157" t="s">
        <v>121</v>
      </c>
      <c r="B9" s="78" t="s">
        <v>106</v>
      </c>
      <c r="C9" s="64" t="s">
        <v>77</v>
      </c>
      <c r="D9" s="154">
        <f>13.13*2.8+1.8*2.8+2*2.8-(1.2*2.8*2+1.2*1*2+1.2*0.7*2)</f>
        <v>36.604000000000006</v>
      </c>
      <c r="E9" s="154"/>
      <c r="F9" s="123">
        <f t="shared" ref="F9:F14" si="1">E9*D9</f>
        <v>0</v>
      </c>
      <c r="G9" s="46"/>
      <c r="L9" s="1">
        <f>25-8-5</f>
        <v>12</v>
      </c>
      <c r="O9" s="16" t="e">
        <f>+#REF!+#REF!</f>
        <v>#REF!</v>
      </c>
    </row>
    <row r="10" spans="1:18" ht="63" customHeight="1">
      <c r="A10" s="157" t="s">
        <v>122</v>
      </c>
      <c r="B10" s="158" t="s">
        <v>94</v>
      </c>
      <c r="C10" s="64" t="s">
        <v>77</v>
      </c>
      <c r="D10" s="154">
        <f>D9*2</f>
        <v>73.208000000000013</v>
      </c>
      <c r="E10" s="154"/>
      <c r="F10" s="123">
        <f t="shared" si="1"/>
        <v>0</v>
      </c>
      <c r="G10" s="46"/>
      <c r="L10" s="15"/>
      <c r="N10" s="1" t="s">
        <v>42</v>
      </c>
      <c r="O10" s="1" t="s">
        <v>43</v>
      </c>
      <c r="P10" s="1" t="s">
        <v>44</v>
      </c>
      <c r="Q10" s="1" t="s">
        <v>46</v>
      </c>
      <c r="R10" s="17" t="s">
        <v>45</v>
      </c>
    </row>
    <row r="11" spans="1:18" ht="55.8" customHeight="1">
      <c r="A11" s="157" t="s">
        <v>123</v>
      </c>
      <c r="B11" s="158" t="s">
        <v>34</v>
      </c>
      <c r="C11" s="64" t="s">
        <v>77</v>
      </c>
      <c r="D11" s="154">
        <f>5.65*12+28</f>
        <v>95.800000000000011</v>
      </c>
      <c r="E11" s="154"/>
      <c r="F11" s="123">
        <f t="shared" si="1"/>
        <v>0</v>
      </c>
      <c r="G11" s="46"/>
      <c r="L11" s="16"/>
      <c r="N11" s="1">
        <v>13</v>
      </c>
      <c r="O11" s="1">
        <v>3</v>
      </c>
      <c r="P11" s="1">
        <v>1.8</v>
      </c>
      <c r="Q11" s="1">
        <f>1.2*1.8*2+1.5*0.8*3</f>
        <v>7.9200000000000008</v>
      </c>
      <c r="R11" s="1">
        <f>N11*P11-Q11</f>
        <v>15.48</v>
      </c>
    </row>
    <row r="12" spans="1:18" s="18" customFormat="1" ht="103.8" customHeight="1">
      <c r="A12" s="157" t="s">
        <v>124</v>
      </c>
      <c r="B12" s="31" t="s">
        <v>143</v>
      </c>
      <c r="C12" s="64" t="s">
        <v>77</v>
      </c>
      <c r="D12" s="154">
        <f>14*2</f>
        <v>28</v>
      </c>
      <c r="E12" s="154"/>
      <c r="F12" s="123">
        <f t="shared" si="1"/>
        <v>0</v>
      </c>
      <c r="G12" s="46"/>
      <c r="K12" s="3"/>
      <c r="L12" s="16"/>
    </row>
    <row r="13" spans="1:18" ht="75.599999999999994" customHeight="1">
      <c r="A13" s="157" t="s">
        <v>125</v>
      </c>
      <c r="B13" s="158" t="s">
        <v>49</v>
      </c>
      <c r="C13" s="64" t="s">
        <v>77</v>
      </c>
      <c r="D13" s="154">
        <f>4.5*12</f>
        <v>54</v>
      </c>
      <c r="E13" s="154"/>
      <c r="F13" s="123">
        <f t="shared" si="1"/>
        <v>0</v>
      </c>
      <c r="G13" s="46"/>
      <c r="N13" s="1">
        <v>3.3</v>
      </c>
      <c r="P13" s="1">
        <v>1.8</v>
      </c>
      <c r="R13" s="1">
        <f>P13*N13*2</f>
        <v>11.879999999999999</v>
      </c>
    </row>
    <row r="14" spans="1:18" ht="52.8" customHeight="1">
      <c r="A14" s="157" t="s">
        <v>126</v>
      </c>
      <c r="B14" s="159" t="s">
        <v>50</v>
      </c>
      <c r="C14" s="64" t="s">
        <v>77</v>
      </c>
      <c r="D14" s="154">
        <v>50</v>
      </c>
      <c r="E14" s="154"/>
      <c r="F14" s="123">
        <f t="shared" si="1"/>
        <v>0</v>
      </c>
      <c r="G14" s="46"/>
      <c r="R14" s="1">
        <f>SUM(R11:R13)</f>
        <v>27.36</v>
      </c>
    </row>
    <row r="15" spans="1:18" ht="101.4" customHeight="1">
      <c r="A15" s="26">
        <v>11</v>
      </c>
      <c r="B15" s="30" t="s">
        <v>11</v>
      </c>
      <c r="C15" s="64"/>
      <c r="D15" s="154"/>
      <c r="E15" s="154"/>
      <c r="F15" s="123"/>
      <c r="G15" s="46"/>
    </row>
    <row r="16" spans="1:18" ht="33.6" customHeight="1">
      <c r="A16" s="26">
        <v>11.1</v>
      </c>
      <c r="B16" s="30" t="s">
        <v>6</v>
      </c>
      <c r="C16" s="64" t="s">
        <v>77</v>
      </c>
      <c r="D16" s="154">
        <f>(12*2.7*2+6.65*2.7*2+6.65*1*2+12*6.65+8*4.65+5*4.45+4.65*2.7*4+5*2.7*2+8*2.7*2)</f>
        <v>373.68</v>
      </c>
      <c r="E16" s="154"/>
      <c r="F16" s="123">
        <f>E16*D16</f>
        <v>0</v>
      </c>
      <c r="G16" s="46"/>
    </row>
    <row r="17" spans="1:18" ht="31.8" customHeight="1">
      <c r="A17" s="26">
        <v>11.2</v>
      </c>
      <c r="B17" s="30" t="s">
        <v>7</v>
      </c>
      <c r="C17" s="64" t="s">
        <v>77</v>
      </c>
      <c r="D17" s="154">
        <f>25*2.7*2+4.65*2.7*2+2.3*1.7*2+25*2*0.3+4.6*2*0.3</f>
        <v>185.69</v>
      </c>
      <c r="E17" s="154"/>
      <c r="F17" s="123">
        <f>E17*D17</f>
        <v>0</v>
      </c>
      <c r="G17" s="46"/>
    </row>
    <row r="18" spans="1:18" s="18" customFormat="1" ht="81.599999999999994" customHeight="1">
      <c r="A18" s="26">
        <v>12</v>
      </c>
      <c r="B18" s="32" t="s">
        <v>119</v>
      </c>
      <c r="C18" s="64" t="s">
        <v>77</v>
      </c>
      <c r="D18" s="154">
        <f>2*3.15</f>
        <v>6.3</v>
      </c>
      <c r="E18" s="154"/>
      <c r="F18" s="123">
        <f>E18*D18</f>
        <v>0</v>
      </c>
      <c r="G18" s="46"/>
      <c r="K18" s="3"/>
    </row>
    <row r="19" spans="1:18" s="18" customFormat="1" ht="66" customHeight="1">
      <c r="A19" s="26">
        <v>13</v>
      </c>
      <c r="B19" s="57" t="s">
        <v>118</v>
      </c>
      <c r="C19" s="64"/>
      <c r="D19" s="154"/>
      <c r="E19" s="154"/>
      <c r="F19" s="123"/>
      <c r="G19" s="46"/>
      <c r="K19" s="3"/>
    </row>
    <row r="20" spans="1:18" s="18" customFormat="1" ht="24" customHeight="1">
      <c r="A20" s="26">
        <v>13.1</v>
      </c>
      <c r="B20" s="160" t="s">
        <v>52</v>
      </c>
      <c r="C20" s="64"/>
      <c r="D20" s="154"/>
      <c r="E20" s="154"/>
      <c r="F20" s="123"/>
      <c r="G20" s="46"/>
      <c r="K20" s="3"/>
    </row>
    <row r="21" spans="1:18" s="18" customFormat="1" ht="39" customHeight="1">
      <c r="A21" s="26" t="s">
        <v>127</v>
      </c>
      <c r="B21" s="119" t="s">
        <v>130</v>
      </c>
      <c r="C21" s="64" t="s">
        <v>13</v>
      </c>
      <c r="D21" s="154">
        <v>2</v>
      </c>
      <c r="E21" s="154"/>
      <c r="F21" s="123">
        <f t="shared" ref="F21:F26" si="2">E21*D21</f>
        <v>0</v>
      </c>
      <c r="G21" s="46"/>
      <c r="K21" s="3"/>
    </row>
    <row r="22" spans="1:18" s="18" customFormat="1" ht="39" customHeight="1">
      <c r="A22" s="26">
        <v>13.2</v>
      </c>
      <c r="B22" s="160" t="s">
        <v>53</v>
      </c>
      <c r="C22" s="64"/>
      <c r="D22" s="154"/>
      <c r="E22" s="154"/>
      <c r="F22" s="123">
        <f t="shared" si="2"/>
        <v>0</v>
      </c>
      <c r="G22" s="46"/>
      <c r="K22" s="3"/>
    </row>
    <row r="23" spans="1:18" ht="24.6" customHeight="1">
      <c r="A23" s="26" t="s">
        <v>128</v>
      </c>
      <c r="B23" s="119" t="s">
        <v>92</v>
      </c>
      <c r="C23" s="64" t="s">
        <v>13</v>
      </c>
      <c r="D23" s="154">
        <v>2</v>
      </c>
      <c r="E23" s="154"/>
      <c r="F23" s="123">
        <f t="shared" si="2"/>
        <v>0</v>
      </c>
      <c r="G23" s="46"/>
    </row>
    <row r="24" spans="1:18" s="18" customFormat="1" ht="214.8" customHeight="1">
      <c r="A24" s="26"/>
      <c r="B24" s="65" t="s">
        <v>164</v>
      </c>
      <c r="C24" s="64"/>
      <c r="D24" s="154"/>
      <c r="E24" s="154"/>
      <c r="F24" s="123"/>
      <c r="G24" s="46"/>
      <c r="K24" s="3"/>
    </row>
    <row r="25" spans="1:18" s="18" customFormat="1" ht="24.6" customHeight="1">
      <c r="A25" s="26">
        <v>13.3</v>
      </c>
      <c r="B25" s="119" t="s">
        <v>54</v>
      </c>
      <c r="C25" s="64" t="s">
        <v>13</v>
      </c>
      <c r="D25" s="154">
        <v>2</v>
      </c>
      <c r="E25" s="154"/>
      <c r="F25" s="123">
        <f t="shared" si="2"/>
        <v>0</v>
      </c>
      <c r="G25" s="120"/>
      <c r="K25" s="3"/>
    </row>
    <row r="26" spans="1:18" s="18" customFormat="1" ht="24.6" customHeight="1">
      <c r="A26" s="26">
        <v>13.4</v>
      </c>
      <c r="B26" s="119" t="s">
        <v>55</v>
      </c>
      <c r="C26" s="64" t="s">
        <v>13</v>
      </c>
      <c r="D26" s="154">
        <v>2</v>
      </c>
      <c r="E26" s="154"/>
      <c r="F26" s="123">
        <f t="shared" si="2"/>
        <v>0</v>
      </c>
      <c r="G26" s="46"/>
      <c r="K26" s="3"/>
    </row>
    <row r="27" spans="1:18" s="19" customFormat="1" ht="59.4" customHeight="1">
      <c r="A27" s="26">
        <v>14</v>
      </c>
      <c r="B27" s="136" t="s">
        <v>111</v>
      </c>
      <c r="C27" s="64"/>
      <c r="D27" s="154"/>
      <c r="E27" s="154"/>
      <c r="F27" s="123"/>
      <c r="G27" s="118"/>
      <c r="K27" s="25"/>
      <c r="L27" s="20"/>
      <c r="R27" s="21"/>
    </row>
    <row r="28" spans="1:18" s="18" customFormat="1" ht="51.6" customHeight="1">
      <c r="A28" s="26">
        <v>14.1</v>
      </c>
      <c r="B28" s="136" t="s">
        <v>116</v>
      </c>
      <c r="C28" s="64" t="s">
        <v>13</v>
      </c>
      <c r="D28" s="154">
        <v>8</v>
      </c>
      <c r="E28" s="154"/>
      <c r="F28" s="123">
        <f>E28*D28</f>
        <v>0</v>
      </c>
      <c r="G28" s="118"/>
      <c r="H28" s="19"/>
      <c r="I28" s="19"/>
      <c r="J28" s="19"/>
      <c r="K28" s="25"/>
      <c r="L28" s="15"/>
      <c r="R28" s="17"/>
    </row>
    <row r="29" spans="1:18" s="18" customFormat="1" ht="33.6" customHeight="1">
      <c r="A29" s="26">
        <v>14.2</v>
      </c>
      <c r="B29" s="69" t="s">
        <v>112</v>
      </c>
      <c r="C29" s="64" t="s">
        <v>13</v>
      </c>
      <c r="D29" s="154">
        <v>1</v>
      </c>
      <c r="E29" s="154"/>
      <c r="F29" s="123">
        <f>E29*D29</f>
        <v>0</v>
      </c>
      <c r="G29" s="118"/>
      <c r="H29" s="19"/>
      <c r="I29" s="19"/>
      <c r="J29" s="22"/>
      <c r="K29" s="23"/>
      <c r="L29" s="15"/>
      <c r="R29" s="17"/>
    </row>
    <row r="30" spans="1:18" s="18" customFormat="1" ht="30" customHeight="1">
      <c r="A30" s="26">
        <v>14.3</v>
      </c>
      <c r="B30" s="69" t="s">
        <v>115</v>
      </c>
      <c r="C30" s="64" t="s">
        <v>13</v>
      </c>
      <c r="D30" s="154">
        <v>8</v>
      </c>
      <c r="E30" s="154"/>
      <c r="F30" s="123">
        <f>E30*D30</f>
        <v>0</v>
      </c>
      <c r="G30" s="118"/>
      <c r="H30" s="19"/>
      <c r="I30" s="19"/>
      <c r="J30" s="22"/>
      <c r="K30" s="23"/>
      <c r="L30" s="15"/>
      <c r="R30" s="17"/>
    </row>
    <row r="31" spans="1:18" s="18" customFormat="1" ht="32.4" customHeight="1">
      <c r="A31" s="26">
        <v>14.4</v>
      </c>
      <c r="B31" s="31" t="s">
        <v>113</v>
      </c>
      <c r="C31" s="64" t="s">
        <v>13</v>
      </c>
      <c r="D31" s="154">
        <v>8</v>
      </c>
      <c r="E31" s="154"/>
      <c r="F31" s="123">
        <f t="shared" ref="F31:F33" si="3">E31*D31</f>
        <v>0</v>
      </c>
      <c r="G31" s="118"/>
      <c r="H31" s="19"/>
      <c r="I31" s="19"/>
      <c r="J31" s="22"/>
      <c r="K31" s="23"/>
      <c r="L31" s="15"/>
      <c r="R31" s="17"/>
    </row>
    <row r="32" spans="1:18" s="18" customFormat="1" ht="23.4" customHeight="1">
      <c r="A32" s="26">
        <v>14.5</v>
      </c>
      <c r="B32" s="31" t="s">
        <v>114</v>
      </c>
      <c r="C32" s="64" t="s">
        <v>13</v>
      </c>
      <c r="D32" s="154">
        <v>3</v>
      </c>
      <c r="E32" s="154"/>
      <c r="F32" s="123">
        <f t="shared" si="3"/>
        <v>0</v>
      </c>
      <c r="G32" s="19"/>
      <c r="H32" s="19"/>
      <c r="I32" s="19"/>
      <c r="J32" s="22"/>
      <c r="K32" s="23"/>
      <c r="L32" s="15"/>
      <c r="R32" s="17"/>
    </row>
    <row r="33" spans="1:18" s="18" customFormat="1" ht="49.2" customHeight="1">
      <c r="A33" s="26">
        <v>15</v>
      </c>
      <c r="B33" s="31" t="s">
        <v>117</v>
      </c>
      <c r="C33" s="64" t="s">
        <v>77</v>
      </c>
      <c r="D33" s="154">
        <v>28</v>
      </c>
      <c r="E33" s="154"/>
      <c r="F33" s="123">
        <f t="shared" si="3"/>
        <v>0</v>
      </c>
      <c r="G33" s="24"/>
      <c r="H33" s="24"/>
      <c r="I33" s="24"/>
      <c r="J33" s="22"/>
      <c r="K33" s="23"/>
      <c r="L33" s="15"/>
      <c r="R33" s="17"/>
    </row>
    <row r="34" spans="1:18" s="18" customFormat="1" ht="52.8" customHeight="1">
      <c r="A34" s="26">
        <v>16</v>
      </c>
      <c r="B34" s="31" t="s">
        <v>142</v>
      </c>
      <c r="C34" s="64" t="s">
        <v>84</v>
      </c>
      <c r="D34" s="154">
        <v>14</v>
      </c>
      <c r="E34" s="154"/>
      <c r="F34" s="123">
        <f>E34*D34</f>
        <v>0</v>
      </c>
      <c r="G34" s="24"/>
      <c r="H34" s="24"/>
      <c r="I34" s="24"/>
      <c r="J34" s="22"/>
      <c r="K34" s="23"/>
      <c r="L34" s="15"/>
      <c r="R34" s="17"/>
    </row>
    <row r="35" spans="1:18" s="18" customFormat="1" ht="182.4" customHeight="1">
      <c r="A35" s="26">
        <v>17</v>
      </c>
      <c r="B35" s="69" t="s">
        <v>107</v>
      </c>
      <c r="C35" s="64" t="s">
        <v>104</v>
      </c>
      <c r="D35" s="154">
        <v>1</v>
      </c>
      <c r="E35" s="154"/>
      <c r="F35" s="123">
        <f>E35*D35</f>
        <v>0</v>
      </c>
      <c r="G35" s="24"/>
      <c r="H35" s="24"/>
      <c r="I35" s="24"/>
      <c r="J35" s="22"/>
      <c r="K35" s="23"/>
      <c r="L35" s="15"/>
      <c r="R35" s="17"/>
    </row>
    <row r="36" spans="1:18" ht="124.2" customHeight="1">
      <c r="A36" s="26"/>
      <c r="B36" s="32" t="s">
        <v>90</v>
      </c>
      <c r="C36" s="64"/>
      <c r="D36" s="154"/>
      <c r="E36" s="154"/>
      <c r="F36" s="123"/>
    </row>
    <row r="37" spans="1:18" ht="23.4" customHeight="1">
      <c r="A37" s="26">
        <v>17.100000000000001</v>
      </c>
      <c r="B37" s="161" t="s">
        <v>88</v>
      </c>
      <c r="C37" s="64" t="s">
        <v>13</v>
      </c>
      <c r="D37" s="154">
        <v>9</v>
      </c>
      <c r="E37" s="154"/>
      <c r="F37" s="123">
        <f>E37*D37</f>
        <v>0</v>
      </c>
    </row>
    <row r="38" spans="1:18" ht="29.4" customHeight="1">
      <c r="A38" s="26">
        <v>17.2</v>
      </c>
      <c r="B38" s="32" t="s">
        <v>85</v>
      </c>
      <c r="C38" s="64" t="s">
        <v>13</v>
      </c>
      <c r="D38" s="154">
        <v>3</v>
      </c>
      <c r="E38" s="154"/>
      <c r="F38" s="123">
        <f t="shared" ref="F38:F39" si="4">E38*D38</f>
        <v>0</v>
      </c>
    </row>
    <row r="39" spans="1:18" ht="48" customHeight="1">
      <c r="A39" s="26">
        <v>17.3</v>
      </c>
      <c r="B39" s="31" t="s">
        <v>79</v>
      </c>
      <c r="C39" s="64" t="s">
        <v>13</v>
      </c>
      <c r="D39" s="154">
        <v>4</v>
      </c>
      <c r="E39" s="154"/>
      <c r="F39" s="123">
        <f t="shared" si="4"/>
        <v>0</v>
      </c>
    </row>
    <row r="40" spans="1:18" ht="110.4" customHeight="1">
      <c r="A40" s="26">
        <v>18</v>
      </c>
      <c r="B40" s="152" t="s">
        <v>131</v>
      </c>
      <c r="C40" s="64" t="s">
        <v>13</v>
      </c>
      <c r="D40" s="154">
        <v>1</v>
      </c>
      <c r="E40" s="154"/>
      <c r="F40" s="123">
        <f>E40*D40</f>
        <v>0</v>
      </c>
    </row>
    <row r="41" spans="1:18" s="18" customFormat="1" ht="87.6" customHeight="1">
      <c r="A41" s="26">
        <v>19</v>
      </c>
      <c r="B41" s="122" t="s">
        <v>102</v>
      </c>
      <c r="C41" s="64" t="s">
        <v>13</v>
      </c>
      <c r="D41" s="154">
        <v>2</v>
      </c>
      <c r="E41" s="154"/>
      <c r="F41" s="123">
        <f>+E41*D41</f>
        <v>0</v>
      </c>
      <c r="K41" s="3"/>
    </row>
    <row r="42" spans="1:18" s="18" customFormat="1" ht="93.6">
      <c r="A42" s="26">
        <v>20</v>
      </c>
      <c r="B42" s="152" t="s">
        <v>132</v>
      </c>
      <c r="C42" s="64" t="s">
        <v>13</v>
      </c>
      <c r="D42" s="154">
        <v>2</v>
      </c>
      <c r="E42" s="154"/>
      <c r="F42" s="123">
        <f>+E42*D42</f>
        <v>0</v>
      </c>
      <c r="K42" s="3"/>
    </row>
    <row r="43" spans="1:18" s="18" customFormat="1" ht="16.2">
      <c r="A43" s="26">
        <v>21</v>
      </c>
      <c r="B43" s="172" t="s">
        <v>141</v>
      </c>
      <c r="C43" s="173"/>
      <c r="D43" s="174"/>
      <c r="E43" s="175"/>
      <c r="F43" s="176"/>
      <c r="K43" s="3"/>
    </row>
    <row r="44" spans="1:18" s="18" customFormat="1" ht="39" customHeight="1">
      <c r="A44" s="26">
        <v>21.1</v>
      </c>
      <c r="B44" s="177" t="s">
        <v>149</v>
      </c>
      <c r="C44" s="178" t="s">
        <v>140</v>
      </c>
      <c r="D44" s="179">
        <f>2*1.5*2+2*1.2*1.7*2</f>
        <v>14.16</v>
      </c>
      <c r="E44" s="175"/>
      <c r="F44" s="176">
        <f>E44*D44</f>
        <v>0</v>
      </c>
      <c r="K44" s="3"/>
    </row>
    <row r="45" spans="1:18" ht="18">
      <c r="A45" s="155"/>
      <c r="B45" s="200" t="s">
        <v>14</v>
      </c>
      <c r="C45" s="200"/>
      <c r="D45" s="200"/>
      <c r="E45" s="200"/>
      <c r="F45" s="156">
        <f>SUBTOTAL(109,F4:F44)</f>
        <v>0</v>
      </c>
    </row>
  </sheetData>
  <mergeCells count="3">
    <mergeCell ref="A1:F1"/>
    <mergeCell ref="B45:E45"/>
    <mergeCell ref="A2:F2"/>
  </mergeCells>
  <printOptions horizontalCentered="1"/>
  <pageMargins left="0.11811023622047245" right="0.70866141732283472" top="0.74803149606299213" bottom="0.35433070866141736" header="0.31496062992125984" footer="0.31496062992125984"/>
  <pageSetup paperSize="9" scale="51" orientation="portrait" verticalDpi="300" r:id="rId1"/>
  <headerFooter>
    <oddFooter>&amp;LMCH Renovation&amp;RTk</oddFooter>
  </headerFooter>
  <rowBreaks count="1" manualBreakCount="1">
    <brk id="2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N24"/>
  <sheetViews>
    <sheetView view="pageBreakPreview" topLeftCell="A19" zoomScale="80" zoomScaleNormal="100" zoomScaleSheetLayoutView="80" workbookViewId="0">
      <selection activeCell="B22" sqref="B22"/>
    </sheetView>
  </sheetViews>
  <sheetFormatPr defaultColWidth="8.88671875" defaultRowHeight="13.8"/>
  <cols>
    <col min="1" max="1" width="11.6640625" style="46" customWidth="1"/>
    <col min="2" max="2" width="71.21875" style="46" customWidth="1"/>
    <col min="3" max="3" width="7.88671875" style="46" customWidth="1"/>
    <col min="4" max="4" width="13.88671875" style="46" customWidth="1"/>
    <col min="5" max="5" width="11.6640625" style="46" customWidth="1"/>
    <col min="6" max="6" width="17.21875" style="46" customWidth="1"/>
    <col min="7" max="7" width="21.6640625" style="46" customWidth="1"/>
    <col min="8" max="16384" width="8.88671875" style="46"/>
  </cols>
  <sheetData>
    <row r="1" spans="1:14" ht="27.6" customHeight="1">
      <c r="A1" s="197" t="s">
        <v>76</v>
      </c>
      <c r="B1" s="198"/>
      <c r="C1" s="198"/>
      <c r="D1" s="198"/>
      <c r="E1" s="198"/>
      <c r="F1" s="199"/>
    </row>
    <row r="2" spans="1:14" ht="16.2">
      <c r="A2" s="207" t="s">
        <v>89</v>
      </c>
      <c r="B2" s="207"/>
      <c r="C2" s="207"/>
      <c r="D2" s="207"/>
      <c r="E2" s="207"/>
      <c r="F2" s="207"/>
    </row>
    <row r="3" spans="1:14" ht="16.2">
      <c r="A3" s="66" t="s">
        <v>0</v>
      </c>
      <c r="B3" s="67" t="s">
        <v>1</v>
      </c>
      <c r="C3" s="67" t="s">
        <v>2</v>
      </c>
      <c r="D3" s="51" t="s">
        <v>3</v>
      </c>
      <c r="E3" s="51" t="s">
        <v>4</v>
      </c>
      <c r="F3" s="51" t="s">
        <v>27</v>
      </c>
    </row>
    <row r="4" spans="1:14" ht="16.2">
      <c r="A4" s="26">
        <v>1</v>
      </c>
      <c r="B4" s="38" t="s">
        <v>29</v>
      </c>
      <c r="C4" s="44"/>
      <c r="D4" s="54"/>
      <c r="E4" s="62"/>
      <c r="F4" s="62"/>
    </row>
    <row r="5" spans="1:14" ht="199.8" customHeight="1">
      <c r="A5" s="37">
        <v>1.2</v>
      </c>
      <c r="B5" s="121" t="s">
        <v>72</v>
      </c>
      <c r="C5" s="47"/>
      <c r="D5" s="58"/>
      <c r="E5" s="58"/>
      <c r="F5" s="40"/>
      <c r="I5" s="46" t="s">
        <v>93</v>
      </c>
    </row>
    <row r="6" spans="1:14" ht="34.799999999999997" customHeight="1">
      <c r="A6" s="37" t="s">
        <v>30</v>
      </c>
      <c r="B6" s="30" t="s">
        <v>6</v>
      </c>
      <c r="C6" s="58" t="s">
        <v>77</v>
      </c>
      <c r="D6" s="64">
        <v>150</v>
      </c>
      <c r="E6" s="54"/>
      <c r="F6" s="71">
        <f>E6*D6</f>
        <v>0</v>
      </c>
      <c r="H6" s="46">
        <f>5*3.2*4</f>
        <v>64</v>
      </c>
      <c r="I6" s="46">
        <f>6.33*5</f>
        <v>31.65</v>
      </c>
      <c r="J6" s="46">
        <f>5*2*1</f>
        <v>10</v>
      </c>
      <c r="M6" s="46">
        <f>6.53*3.2*2</f>
        <v>41.792000000000002</v>
      </c>
    </row>
    <row r="7" spans="1:14" ht="30.6" customHeight="1">
      <c r="A7" s="37" t="s">
        <v>31</v>
      </c>
      <c r="B7" s="30" t="s">
        <v>7</v>
      </c>
      <c r="C7" s="58" t="s">
        <v>77</v>
      </c>
      <c r="D7" s="58">
        <v>110</v>
      </c>
      <c r="E7" s="54"/>
      <c r="F7" s="36">
        <f>E7*D7</f>
        <v>0</v>
      </c>
      <c r="H7" s="46">
        <f>2.93*2*3.2</f>
        <v>18.752000000000002</v>
      </c>
      <c r="I7" s="46">
        <f>2.97*2*3.2</f>
        <v>19.008000000000003</v>
      </c>
      <c r="J7" s="46">
        <v>6.33</v>
      </c>
      <c r="M7" s="46">
        <f>5*3.2*2</f>
        <v>32</v>
      </c>
      <c r="N7" s="46">
        <v>35</v>
      </c>
    </row>
    <row r="8" spans="1:14" ht="30.6" customHeight="1">
      <c r="A8" s="37"/>
      <c r="B8" s="30"/>
      <c r="C8" s="58"/>
      <c r="D8" s="58"/>
      <c r="E8" s="54"/>
      <c r="F8" s="36"/>
    </row>
    <row r="9" spans="1:14" ht="30.6" customHeight="1">
      <c r="A9" s="37"/>
      <c r="B9" s="30"/>
      <c r="C9" s="58"/>
      <c r="D9" s="58"/>
      <c r="E9" s="54"/>
      <c r="F9" s="36"/>
    </row>
    <row r="10" spans="1:14" ht="214.2" customHeight="1">
      <c r="A10" s="52" t="s">
        <v>26</v>
      </c>
      <c r="B10" s="32" t="s">
        <v>78</v>
      </c>
      <c r="C10" s="58" t="s">
        <v>77</v>
      </c>
      <c r="D10" s="70">
        <v>60.15</v>
      </c>
      <c r="E10" s="54"/>
      <c r="F10" s="71">
        <f>E10*D10</f>
        <v>0</v>
      </c>
      <c r="I10" s="46">
        <f>6.13*5</f>
        <v>30.65</v>
      </c>
      <c r="J10" s="46">
        <f>2.97*5</f>
        <v>14.850000000000001</v>
      </c>
      <c r="K10" s="46">
        <f>2.93*5</f>
        <v>14.65</v>
      </c>
      <c r="M10" s="46">
        <f>SUM(I10:L10)</f>
        <v>60.15</v>
      </c>
    </row>
    <row r="11" spans="1:14" ht="64.2" customHeight="1">
      <c r="A11" s="52" t="s">
        <v>57</v>
      </c>
      <c r="B11" s="32" t="s">
        <v>82</v>
      </c>
      <c r="C11" s="64" t="s">
        <v>77</v>
      </c>
      <c r="D11" s="70">
        <v>21.6</v>
      </c>
      <c r="E11" s="54"/>
      <c r="F11" s="71">
        <f>E11*D11</f>
        <v>0</v>
      </c>
      <c r="I11" s="46">
        <f>10*0.6*2</f>
        <v>12</v>
      </c>
      <c r="J11" s="46">
        <f>8*0.6*2</f>
        <v>9.6</v>
      </c>
      <c r="K11" s="46">
        <f>SUM(I11:J11)</f>
        <v>21.6</v>
      </c>
    </row>
    <row r="12" spans="1:14" ht="18.600000000000001" customHeight="1">
      <c r="A12" s="52" t="s">
        <v>161</v>
      </c>
      <c r="B12" s="188" t="s">
        <v>160</v>
      </c>
      <c r="C12" s="58" t="s">
        <v>83</v>
      </c>
      <c r="D12" s="68">
        <v>2</v>
      </c>
      <c r="E12" s="54"/>
      <c r="F12" s="71">
        <f>E12*D12</f>
        <v>0</v>
      </c>
    </row>
    <row r="13" spans="1:14" ht="23.4" customHeight="1">
      <c r="A13" s="33"/>
      <c r="B13" s="204" t="s">
        <v>56</v>
      </c>
      <c r="C13" s="204"/>
      <c r="D13" s="204"/>
      <c r="E13" s="77"/>
      <c r="F13" s="60">
        <f>SUBTOTAL(109,F6:F12)</f>
        <v>0</v>
      </c>
    </row>
    <row r="14" spans="1:14" ht="15.6">
      <c r="A14" s="33">
        <v>2</v>
      </c>
      <c r="B14" s="78" t="s">
        <v>74</v>
      </c>
      <c r="C14" s="39"/>
      <c r="D14" s="54"/>
      <c r="E14" s="54"/>
      <c r="F14" s="36"/>
    </row>
    <row r="15" spans="1:14" ht="124.2" customHeight="1">
      <c r="A15" s="33">
        <v>2.1</v>
      </c>
      <c r="B15" s="32" t="s">
        <v>90</v>
      </c>
      <c r="C15" s="39"/>
      <c r="D15" s="54"/>
      <c r="E15" s="54"/>
      <c r="F15" s="40"/>
    </row>
    <row r="16" spans="1:14" ht="25.2" customHeight="1">
      <c r="A16" s="33" t="s">
        <v>21</v>
      </c>
      <c r="B16" s="41" t="s">
        <v>88</v>
      </c>
      <c r="C16" s="58" t="s">
        <v>9</v>
      </c>
      <c r="D16" s="54">
        <v>6</v>
      </c>
      <c r="E16" s="44"/>
      <c r="F16" s="71">
        <f>E16*D16</f>
        <v>0</v>
      </c>
    </row>
    <row r="17" spans="1:6" ht="114.6" customHeight="1">
      <c r="A17" s="33"/>
      <c r="B17" s="65" t="s">
        <v>87</v>
      </c>
      <c r="C17" s="58"/>
      <c r="D17" s="54"/>
      <c r="E17" s="43"/>
      <c r="F17" s="36"/>
    </row>
    <row r="18" spans="1:6" ht="25.2" customHeight="1">
      <c r="A18" s="33" t="s">
        <v>22</v>
      </c>
      <c r="B18" s="32" t="s">
        <v>85</v>
      </c>
      <c r="C18" s="58" t="s">
        <v>9</v>
      </c>
      <c r="D18" s="54">
        <v>2</v>
      </c>
      <c r="E18" s="44"/>
      <c r="F18" s="36">
        <f t="shared" ref="F18:F19" si="0">E18*D18</f>
        <v>0</v>
      </c>
    </row>
    <row r="19" spans="1:6" ht="46.8" customHeight="1">
      <c r="A19" s="33" t="s">
        <v>23</v>
      </c>
      <c r="B19" s="31" t="s">
        <v>79</v>
      </c>
      <c r="C19" s="58" t="s">
        <v>9</v>
      </c>
      <c r="D19" s="75">
        <v>2</v>
      </c>
      <c r="E19" s="43"/>
      <c r="F19" s="76">
        <f t="shared" si="0"/>
        <v>0</v>
      </c>
    </row>
    <row r="20" spans="1:6" ht="18">
      <c r="A20" s="44"/>
      <c r="B20" s="205" t="s">
        <v>12</v>
      </c>
      <c r="C20" s="205"/>
      <c r="D20" s="205"/>
      <c r="E20" s="205"/>
      <c r="F20" s="60">
        <f>SUBTOTAL(109,F15:F19)</f>
        <v>0</v>
      </c>
    </row>
    <row r="21" spans="1:6" ht="18">
      <c r="A21" s="26">
        <v>3</v>
      </c>
      <c r="B21" s="130" t="s">
        <v>103</v>
      </c>
      <c r="C21" s="27"/>
      <c r="D21" s="27"/>
      <c r="E21" s="27"/>
      <c r="F21" s="40"/>
    </row>
    <row r="22" spans="1:6" ht="93.6">
      <c r="A22" s="26">
        <v>3.1</v>
      </c>
      <c r="B22" s="122" t="s">
        <v>157</v>
      </c>
      <c r="C22" s="102" t="s">
        <v>13</v>
      </c>
      <c r="D22" s="64">
        <v>1</v>
      </c>
      <c r="E22" s="64"/>
      <c r="F22" s="123">
        <f>+E22*D22</f>
        <v>0</v>
      </c>
    </row>
    <row r="23" spans="1:6" s="47" customFormat="1" ht="18">
      <c r="A23" s="59"/>
      <c r="B23" s="171" t="s">
        <v>14</v>
      </c>
      <c r="C23" s="171"/>
      <c r="D23" s="171"/>
      <c r="E23" s="171"/>
      <c r="F23" s="60">
        <f>SUBTOTAL(109,F22)</f>
        <v>0</v>
      </c>
    </row>
    <row r="24" spans="1:6" ht="18">
      <c r="A24" s="29"/>
      <c r="B24" s="206" t="s">
        <v>32</v>
      </c>
      <c r="C24" s="206"/>
      <c r="D24" s="206"/>
      <c r="E24" s="206"/>
      <c r="F24" s="60">
        <f>SUBTOTAL(109,F2:F23)</f>
        <v>0</v>
      </c>
    </row>
  </sheetData>
  <mergeCells count="5">
    <mergeCell ref="B13:D13"/>
    <mergeCell ref="B20:E20"/>
    <mergeCell ref="B24:E24"/>
    <mergeCell ref="A1:F1"/>
    <mergeCell ref="A2:F2"/>
  </mergeCells>
  <pageMargins left="0.7" right="0.7" top="0.75" bottom="0.75" header="0.3" footer="0.3"/>
  <pageSetup paperSize="9" scale="5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0"/>
  <sheetViews>
    <sheetView view="pageBreakPreview" topLeftCell="A13" zoomScale="102" zoomScaleNormal="102" zoomScaleSheetLayoutView="102" workbookViewId="0">
      <selection activeCell="E18" sqref="E18:E19"/>
    </sheetView>
  </sheetViews>
  <sheetFormatPr defaultColWidth="8.88671875" defaultRowHeight="13.8"/>
  <cols>
    <col min="1" max="1" width="11.6640625" style="18" customWidth="1"/>
    <col min="2" max="2" width="64.44140625" style="18" customWidth="1"/>
    <col min="3" max="3" width="12.109375" style="18" customWidth="1"/>
    <col min="4" max="4" width="13.109375" style="18" customWidth="1"/>
    <col min="5" max="5" width="12.77734375" style="18" bestFit="1" customWidth="1"/>
    <col min="6" max="6" width="13.6640625" style="18" customWidth="1"/>
    <col min="7" max="16384" width="8.88671875" style="18"/>
  </cols>
  <sheetData>
    <row r="1" spans="1:7" ht="29.4" customHeight="1" thickBot="1">
      <c r="A1" s="211" t="s">
        <v>156</v>
      </c>
      <c r="B1" s="211"/>
      <c r="C1" s="211"/>
      <c r="D1" s="211"/>
      <c r="E1" s="211"/>
      <c r="F1" s="211"/>
      <c r="G1" s="189"/>
    </row>
    <row r="2" spans="1:7" ht="16.2">
      <c r="A2" s="208" t="s">
        <v>100</v>
      </c>
      <c r="B2" s="209"/>
      <c r="C2" s="209"/>
      <c r="D2" s="209"/>
      <c r="E2" s="209"/>
      <c r="F2" s="210"/>
    </row>
    <row r="4" spans="1:7" ht="16.2">
      <c r="A4" s="48" t="s">
        <v>0</v>
      </c>
      <c r="B4" s="49" t="s">
        <v>1</v>
      </c>
      <c r="C4" s="49" t="s">
        <v>2</v>
      </c>
      <c r="D4" s="50" t="s">
        <v>3</v>
      </c>
      <c r="E4" s="50" t="s">
        <v>4</v>
      </c>
      <c r="F4" s="51" t="s">
        <v>27</v>
      </c>
    </row>
    <row r="5" spans="1:7" ht="16.2">
      <c r="A5" s="157"/>
      <c r="B5" s="163" t="s">
        <v>69</v>
      </c>
      <c r="C5" s="163"/>
      <c r="D5" s="86"/>
      <c r="E5" s="86"/>
      <c r="F5" s="86"/>
    </row>
    <row r="6" spans="1:7" ht="62.4">
      <c r="A6" s="157" t="s">
        <v>59</v>
      </c>
      <c r="B6" s="164" t="s">
        <v>154</v>
      </c>
      <c r="C6" s="163"/>
      <c r="D6" s="86"/>
      <c r="E6" s="86"/>
      <c r="F6" s="86"/>
    </row>
    <row r="7" spans="1:7" ht="16.2">
      <c r="A7" s="157" t="s">
        <v>60</v>
      </c>
      <c r="B7" s="165" t="s">
        <v>36</v>
      </c>
      <c r="C7" s="166" t="s">
        <v>41</v>
      </c>
      <c r="D7" s="167">
        <v>550</v>
      </c>
      <c r="E7" s="166"/>
      <c r="F7" s="166">
        <f>E7*D7</f>
        <v>0</v>
      </c>
    </row>
    <row r="8" spans="1:7" ht="16.2">
      <c r="A8" s="157" t="s">
        <v>61</v>
      </c>
      <c r="B8" s="165" t="s">
        <v>39</v>
      </c>
      <c r="C8" s="166" t="s">
        <v>41</v>
      </c>
      <c r="D8" s="167">
        <v>15</v>
      </c>
      <c r="E8" s="166"/>
      <c r="F8" s="166">
        <f t="shared" ref="F8:F19" si="0">E8*D8</f>
        <v>0</v>
      </c>
    </row>
    <row r="9" spans="1:7" ht="16.2">
      <c r="A9" s="157" t="s">
        <v>62</v>
      </c>
      <c r="B9" s="165" t="s">
        <v>40</v>
      </c>
      <c r="C9" s="166" t="s">
        <v>41</v>
      </c>
      <c r="D9" s="167">
        <v>20</v>
      </c>
      <c r="E9" s="166"/>
      <c r="F9" s="166">
        <f t="shared" si="0"/>
        <v>0</v>
      </c>
    </row>
    <row r="10" spans="1:7" ht="16.2">
      <c r="A10" s="157" t="s">
        <v>63</v>
      </c>
      <c r="B10" s="165" t="s">
        <v>37</v>
      </c>
      <c r="C10" s="166" t="s">
        <v>38</v>
      </c>
      <c r="D10" s="167">
        <v>4</v>
      </c>
      <c r="E10" s="166"/>
      <c r="F10" s="166">
        <f t="shared" si="0"/>
        <v>0</v>
      </c>
    </row>
    <row r="11" spans="1:7" ht="180" customHeight="1">
      <c r="A11" s="157" t="s">
        <v>10</v>
      </c>
      <c r="B11" s="168" t="s">
        <v>155</v>
      </c>
      <c r="C11" s="169" t="s">
        <v>104</v>
      </c>
      <c r="D11" s="167">
        <v>1</v>
      </c>
      <c r="E11" s="166"/>
      <c r="F11" s="166">
        <f t="shared" si="0"/>
        <v>0</v>
      </c>
    </row>
    <row r="12" spans="1:7" ht="58.2" customHeight="1">
      <c r="A12" s="157" t="s">
        <v>58</v>
      </c>
      <c r="B12" s="183" t="s">
        <v>111</v>
      </c>
      <c r="C12" s="167"/>
      <c r="D12" s="166"/>
      <c r="E12" s="166"/>
      <c r="F12" s="166">
        <f t="shared" si="0"/>
        <v>0</v>
      </c>
    </row>
    <row r="13" spans="1:7" ht="31.2" customHeight="1">
      <c r="A13" s="157" t="s">
        <v>70</v>
      </c>
      <c r="B13" s="184" t="s">
        <v>150</v>
      </c>
      <c r="C13" s="185" t="s">
        <v>13</v>
      </c>
      <c r="D13" s="186">
        <v>12</v>
      </c>
      <c r="E13" s="187"/>
      <c r="F13" s="166">
        <f t="shared" si="0"/>
        <v>0</v>
      </c>
    </row>
    <row r="14" spans="1:7" ht="33" customHeight="1">
      <c r="A14" s="157" t="s">
        <v>71</v>
      </c>
      <c r="B14" s="184" t="s">
        <v>151</v>
      </c>
      <c r="C14" s="185" t="s">
        <v>84</v>
      </c>
      <c r="D14" s="186">
        <v>200</v>
      </c>
      <c r="E14" s="187"/>
      <c r="F14" s="166">
        <f t="shared" si="0"/>
        <v>0</v>
      </c>
    </row>
    <row r="15" spans="1:7" ht="34.200000000000003" customHeight="1">
      <c r="A15" s="157" t="s">
        <v>153</v>
      </c>
      <c r="B15" s="184" t="s">
        <v>152</v>
      </c>
      <c r="C15" s="185" t="s">
        <v>84</v>
      </c>
      <c r="D15" s="186">
        <v>50</v>
      </c>
      <c r="E15" s="187"/>
      <c r="F15" s="166">
        <f t="shared" si="0"/>
        <v>0</v>
      </c>
    </row>
    <row r="16" spans="1:7" ht="16.2">
      <c r="A16" s="37">
        <v>2</v>
      </c>
      <c r="B16" s="38" t="s">
        <v>8</v>
      </c>
      <c r="C16" s="39"/>
      <c r="D16" s="39"/>
      <c r="E16" s="39"/>
      <c r="F16" s="166">
        <f t="shared" si="0"/>
        <v>0</v>
      </c>
    </row>
    <row r="17" spans="1:6" ht="131.4" customHeight="1">
      <c r="A17" s="37">
        <v>2.1</v>
      </c>
      <c r="B17" s="32" t="s">
        <v>90</v>
      </c>
      <c r="C17" s="39"/>
      <c r="D17" s="39"/>
      <c r="E17" s="39"/>
      <c r="F17" s="166">
        <f t="shared" si="0"/>
        <v>0</v>
      </c>
    </row>
    <row r="18" spans="1:6" ht="18.600000000000001" customHeight="1">
      <c r="A18" s="37" t="s">
        <v>21</v>
      </c>
      <c r="B18" s="41" t="s">
        <v>91</v>
      </c>
      <c r="C18" s="170" t="s">
        <v>13</v>
      </c>
      <c r="D18" s="170">
        <v>4</v>
      </c>
      <c r="E18" s="43"/>
      <c r="F18" s="166">
        <f t="shared" si="0"/>
        <v>0</v>
      </c>
    </row>
    <row r="19" spans="1:6" ht="23.4" customHeight="1">
      <c r="A19" s="10"/>
      <c r="B19" s="32" t="s">
        <v>85</v>
      </c>
      <c r="C19" s="170" t="s">
        <v>13</v>
      </c>
      <c r="D19" s="10">
        <v>2</v>
      </c>
      <c r="E19" s="14"/>
      <c r="F19" s="166">
        <f t="shared" si="0"/>
        <v>0</v>
      </c>
    </row>
    <row r="20" spans="1:6" ht="18.600000000000001">
      <c r="A20" s="12"/>
      <c r="B20" s="171" t="s">
        <v>33</v>
      </c>
      <c r="C20" s="13"/>
      <c r="D20" s="13"/>
      <c r="E20" s="13"/>
      <c r="F20" s="28">
        <f>SUBTOTAL(109,F7:F19)</f>
        <v>0</v>
      </c>
    </row>
  </sheetData>
  <mergeCells count="2">
    <mergeCell ref="A2:F2"/>
    <mergeCell ref="A1:F1"/>
  </mergeCells>
  <pageMargins left="0.7" right="0.7" top="0.75" bottom="0.75" header="0.3" footer="0.3"/>
  <pageSetup paperSize="9" scale="6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F38"/>
  <sheetViews>
    <sheetView view="pageBreakPreview" zoomScale="90" zoomScaleNormal="100" zoomScaleSheetLayoutView="90" workbookViewId="0">
      <selection activeCell="B9" sqref="B9"/>
    </sheetView>
  </sheetViews>
  <sheetFormatPr defaultColWidth="8.88671875" defaultRowHeight="15.6"/>
  <cols>
    <col min="1" max="1" width="11.6640625" style="47" customWidth="1"/>
    <col min="2" max="2" width="93.44140625" style="47" customWidth="1"/>
    <col min="3" max="3" width="7.33203125" style="182" customWidth="1"/>
    <col min="4" max="4" width="13.44140625" style="47" customWidth="1"/>
    <col min="5" max="5" width="13.44140625" style="47" bestFit="1" customWidth="1"/>
    <col min="6" max="6" width="15.88671875" style="47" customWidth="1"/>
    <col min="7" max="16384" width="8.88671875" style="47"/>
  </cols>
  <sheetData>
    <row r="1" spans="1:6" ht="16.8" thickBot="1">
      <c r="A1" s="208" t="s">
        <v>100</v>
      </c>
      <c r="B1" s="209"/>
      <c r="C1" s="209"/>
      <c r="D1" s="209"/>
      <c r="E1" s="209"/>
      <c r="F1" s="210"/>
    </row>
    <row r="2" spans="1:6" ht="16.8" customHeight="1" thickBot="1">
      <c r="A2" s="218" t="s">
        <v>35</v>
      </c>
      <c r="B2" s="219"/>
      <c r="C2" s="219"/>
      <c r="D2" s="219"/>
      <c r="E2" s="219"/>
      <c r="F2" s="220"/>
    </row>
    <row r="3" spans="1:6" ht="16.8" thickBot="1">
      <c r="A3" s="72"/>
      <c r="B3" s="73"/>
      <c r="C3" s="180"/>
      <c r="D3" s="73"/>
      <c r="E3" s="73"/>
      <c r="F3" s="74"/>
    </row>
    <row r="4" spans="1:6" ht="16.2">
      <c r="A4" s="79" t="s">
        <v>0</v>
      </c>
      <c r="B4" s="80" t="s">
        <v>1</v>
      </c>
      <c r="C4" s="80" t="s">
        <v>2</v>
      </c>
      <c r="D4" s="81" t="s">
        <v>3</v>
      </c>
      <c r="E4" s="81" t="s">
        <v>4</v>
      </c>
      <c r="F4" s="82" t="s">
        <v>27</v>
      </c>
    </row>
    <row r="5" spans="1:6" ht="16.2">
      <c r="A5" s="83"/>
      <c r="B5" s="84"/>
      <c r="C5" s="84"/>
      <c r="D5" s="85"/>
      <c r="E5" s="86"/>
      <c r="F5" s="87"/>
    </row>
    <row r="6" spans="1:6" ht="19.8" customHeight="1">
      <c r="A6" s="133" t="s">
        <v>28</v>
      </c>
      <c r="B6" s="134" t="s">
        <v>29</v>
      </c>
      <c r="C6" s="127"/>
      <c r="D6" s="128"/>
      <c r="E6" s="135"/>
      <c r="F6" s="129"/>
    </row>
    <row r="7" spans="1:6" ht="52.8" customHeight="1">
      <c r="A7" s="88" t="s">
        <v>59</v>
      </c>
      <c r="B7" s="119" t="s">
        <v>110</v>
      </c>
      <c r="C7" s="64" t="s">
        <v>104</v>
      </c>
      <c r="D7" s="153">
        <v>1</v>
      </c>
      <c r="E7" s="153"/>
      <c r="F7" s="54">
        <f>E7*D7</f>
        <v>0</v>
      </c>
    </row>
    <row r="8" spans="1:6" ht="70.2" customHeight="1">
      <c r="A8" s="88" t="s">
        <v>134</v>
      </c>
      <c r="B8" s="92" t="s">
        <v>95</v>
      </c>
      <c r="C8" s="64" t="s">
        <v>77</v>
      </c>
      <c r="D8" s="106">
        <f>(6.2+6.2+1.5*2)*3.3-(1.5*1.2*6+1.5*0.7*6)+3.4*2.8*2+0.9*2.8*2</f>
        <v>57.8</v>
      </c>
      <c r="E8" s="107"/>
      <c r="F8" s="108">
        <f>E8*D8</f>
        <v>0</v>
      </c>
    </row>
    <row r="9" spans="1:6" ht="66" customHeight="1">
      <c r="A9" s="88" t="s">
        <v>26</v>
      </c>
      <c r="B9" s="92" t="s">
        <v>106</v>
      </c>
      <c r="C9" s="58" t="s">
        <v>77</v>
      </c>
      <c r="D9" s="90">
        <f>(6.2*3.3*2+2.4*3.3+1.5*3.3)-(1.2*1.5*6+1.5*0.7*6-0.9*3.3)</f>
        <v>39.660000000000011</v>
      </c>
      <c r="E9" s="93"/>
      <c r="F9" s="91">
        <f t="shared" ref="F9:F13" si="0">E9*D9</f>
        <v>0</v>
      </c>
    </row>
    <row r="10" spans="1:6" ht="49.2" customHeight="1">
      <c r="A10" s="88" t="s">
        <v>135</v>
      </c>
      <c r="B10" s="94" t="s">
        <v>94</v>
      </c>
      <c r="C10" s="58" t="s">
        <v>77</v>
      </c>
      <c r="D10" s="90">
        <f>39.66*2</f>
        <v>79.319999999999993</v>
      </c>
      <c r="E10" s="93"/>
      <c r="F10" s="91">
        <f t="shared" si="0"/>
        <v>0</v>
      </c>
    </row>
    <row r="11" spans="1:6" ht="43.2" customHeight="1">
      <c r="A11" s="88" t="s">
        <v>136</v>
      </c>
      <c r="B11" s="94" t="s">
        <v>96</v>
      </c>
      <c r="C11" s="58" t="s">
        <v>77</v>
      </c>
      <c r="D11" s="90">
        <f>(3.7+1.5)*6.2*2+2.43*(1.5+1.5)+4.7*1*2</f>
        <v>81.170000000000016</v>
      </c>
      <c r="E11" s="54"/>
      <c r="F11" s="91">
        <f t="shared" si="0"/>
        <v>0</v>
      </c>
    </row>
    <row r="12" spans="1:6" ht="49.2" customHeight="1">
      <c r="A12" s="88" t="s">
        <v>137</v>
      </c>
      <c r="B12" s="110" t="s">
        <v>101</v>
      </c>
      <c r="C12" s="111" t="s">
        <v>77</v>
      </c>
      <c r="D12" s="112">
        <f>(6.1*4.7*2)</f>
        <v>57.339999999999996</v>
      </c>
      <c r="E12" s="113"/>
      <c r="F12" s="114">
        <f t="shared" si="0"/>
        <v>0</v>
      </c>
    </row>
    <row r="13" spans="1:6" ht="49.8" customHeight="1">
      <c r="A13" s="88" t="s">
        <v>138</v>
      </c>
      <c r="B13" s="110" t="s">
        <v>97</v>
      </c>
      <c r="C13" s="111" t="s">
        <v>77</v>
      </c>
      <c r="D13" s="112">
        <v>79</v>
      </c>
      <c r="E13" s="113"/>
      <c r="F13" s="114">
        <f t="shared" si="0"/>
        <v>0</v>
      </c>
    </row>
    <row r="14" spans="1:6" ht="48" customHeight="1">
      <c r="A14" s="88" t="s">
        <v>167</v>
      </c>
      <c r="B14" s="30" t="s">
        <v>98</v>
      </c>
      <c r="C14" s="89"/>
      <c r="D14" s="90"/>
      <c r="E14" s="93"/>
      <c r="F14" s="91"/>
    </row>
    <row r="15" spans="1:6" ht="30" customHeight="1">
      <c r="A15" s="88" t="s">
        <v>168</v>
      </c>
      <c r="B15" s="95" t="s">
        <v>6</v>
      </c>
      <c r="C15" s="58" t="s">
        <v>77</v>
      </c>
      <c r="D15" s="90">
        <v>207.48</v>
      </c>
      <c r="E15" s="54"/>
      <c r="F15" s="91">
        <f>E15*D15</f>
        <v>0</v>
      </c>
    </row>
    <row r="16" spans="1:6" ht="24.6" customHeight="1">
      <c r="A16" s="88" t="s">
        <v>169</v>
      </c>
      <c r="B16" s="96" t="s">
        <v>7</v>
      </c>
      <c r="C16" s="58" t="s">
        <v>77</v>
      </c>
      <c r="D16" s="90">
        <f>14.9*3.3*2+5.1*3.3+1.15*3.65*0.25*2*2+(14.9*2+5.1*2)*0.3</f>
        <v>131.36750000000001</v>
      </c>
      <c r="E16" s="54"/>
      <c r="F16" s="91">
        <f>E16*D16</f>
        <v>0</v>
      </c>
    </row>
    <row r="17" spans="1:6" ht="48.6" customHeight="1">
      <c r="A17" s="88" t="s">
        <v>10</v>
      </c>
      <c r="B17" s="136" t="s">
        <v>111</v>
      </c>
      <c r="C17" s="64"/>
      <c r="D17" s="154"/>
      <c r="E17" s="154"/>
      <c r="F17" s="123"/>
    </row>
    <row r="18" spans="1:6" ht="24.6" customHeight="1">
      <c r="A18" s="88" t="s">
        <v>64</v>
      </c>
      <c r="B18" s="136" t="s">
        <v>116</v>
      </c>
      <c r="C18" s="64" t="s">
        <v>13</v>
      </c>
      <c r="D18" s="154">
        <v>8</v>
      </c>
      <c r="E18" s="154"/>
      <c r="F18" s="123">
        <f>E18*D18</f>
        <v>0</v>
      </c>
    </row>
    <row r="19" spans="1:6" ht="24.6" customHeight="1">
      <c r="A19" s="88" t="s">
        <v>65</v>
      </c>
      <c r="B19" s="69" t="s">
        <v>112</v>
      </c>
      <c r="C19" s="64" t="s">
        <v>13</v>
      </c>
      <c r="D19" s="154">
        <v>1</v>
      </c>
      <c r="E19" s="154"/>
      <c r="F19" s="123">
        <f>E19*D19</f>
        <v>0</v>
      </c>
    </row>
    <row r="20" spans="1:6" ht="24.6" customHeight="1">
      <c r="A20" s="88" t="s">
        <v>66</v>
      </c>
      <c r="B20" s="69" t="s">
        <v>115</v>
      </c>
      <c r="C20" s="64" t="s">
        <v>13</v>
      </c>
      <c r="D20" s="154">
        <v>8</v>
      </c>
      <c r="E20" s="154"/>
      <c r="F20" s="123">
        <f>E20*D20</f>
        <v>0</v>
      </c>
    </row>
    <row r="21" spans="1:6" ht="24.6" customHeight="1">
      <c r="A21" s="88" t="s">
        <v>67</v>
      </c>
      <c r="B21" s="31" t="s">
        <v>113</v>
      </c>
      <c r="C21" s="64" t="s">
        <v>13</v>
      </c>
      <c r="D21" s="154">
        <v>8</v>
      </c>
      <c r="E21" s="154"/>
      <c r="F21" s="123">
        <f t="shared" ref="F21:F23" si="1">E21*D21</f>
        <v>0</v>
      </c>
    </row>
    <row r="22" spans="1:6" ht="24.6" customHeight="1">
      <c r="A22" s="88" t="s">
        <v>68</v>
      </c>
      <c r="B22" s="31" t="s">
        <v>114</v>
      </c>
      <c r="C22" s="64" t="s">
        <v>13</v>
      </c>
      <c r="D22" s="154">
        <v>3</v>
      </c>
      <c r="E22" s="154"/>
      <c r="F22" s="123">
        <f t="shared" si="1"/>
        <v>0</v>
      </c>
    </row>
    <row r="23" spans="1:6" ht="43.8" customHeight="1">
      <c r="A23" s="88" t="s">
        <v>144</v>
      </c>
      <c r="B23" s="31" t="s">
        <v>117</v>
      </c>
      <c r="C23" s="64" t="s">
        <v>77</v>
      </c>
      <c r="D23" s="154">
        <v>28</v>
      </c>
      <c r="E23" s="154"/>
      <c r="F23" s="123">
        <f t="shared" si="1"/>
        <v>0</v>
      </c>
    </row>
    <row r="24" spans="1:6" ht="49.8" customHeight="1">
      <c r="A24" s="88" t="s">
        <v>145</v>
      </c>
      <c r="B24" s="31" t="s">
        <v>142</v>
      </c>
      <c r="C24" s="64" t="s">
        <v>84</v>
      </c>
      <c r="D24" s="154">
        <v>14</v>
      </c>
      <c r="E24" s="154"/>
      <c r="F24" s="123">
        <f>E24*D24</f>
        <v>0</v>
      </c>
    </row>
    <row r="25" spans="1:6" ht="133.19999999999999" customHeight="1">
      <c r="A25" s="88" t="s">
        <v>162</v>
      </c>
      <c r="B25" s="65" t="s">
        <v>163</v>
      </c>
      <c r="C25" s="64" t="s">
        <v>13</v>
      </c>
      <c r="D25" s="154">
        <v>3</v>
      </c>
      <c r="E25" s="154"/>
      <c r="F25" s="123">
        <f t="shared" ref="F25" si="2">E25*D25</f>
        <v>0</v>
      </c>
    </row>
    <row r="26" spans="1:6" ht="16.2">
      <c r="A26" s="97"/>
      <c r="B26" s="215" t="s">
        <v>105</v>
      </c>
      <c r="C26" s="216"/>
      <c r="D26" s="216"/>
      <c r="E26" s="217"/>
      <c r="F26" s="124">
        <f>SUBTOTAL(109,F8:F25)</f>
        <v>0</v>
      </c>
    </row>
    <row r="27" spans="1:6">
      <c r="A27" s="125">
        <v>3</v>
      </c>
      <c r="B27" s="126" t="s">
        <v>99</v>
      </c>
      <c r="C27" s="127"/>
      <c r="D27" s="128"/>
      <c r="E27" s="128"/>
      <c r="F27" s="129"/>
    </row>
    <row r="28" spans="1:6" ht="87.6" customHeight="1">
      <c r="A28" s="98">
        <v>3.1</v>
      </c>
      <c r="B28" s="32" t="s">
        <v>90</v>
      </c>
      <c r="C28" s="89"/>
      <c r="D28" s="90"/>
      <c r="E28" s="90"/>
      <c r="F28" s="91"/>
    </row>
    <row r="29" spans="1:6" ht="87.6" customHeight="1">
      <c r="A29" s="98"/>
      <c r="B29" s="65" t="s">
        <v>87</v>
      </c>
      <c r="C29" s="89"/>
      <c r="D29" s="90"/>
      <c r="E29" s="90"/>
      <c r="F29" s="91"/>
    </row>
    <row r="30" spans="1:6" ht="34.200000000000003" customHeight="1">
      <c r="A30" s="98" t="s">
        <v>146</v>
      </c>
      <c r="B30" s="41" t="s">
        <v>91</v>
      </c>
      <c r="C30" s="99" t="s">
        <v>13</v>
      </c>
      <c r="D30" s="100">
        <v>6</v>
      </c>
      <c r="E30" s="90">
        <f>'EPI BLOCK rev'!E16</f>
        <v>0</v>
      </c>
      <c r="F30" s="91">
        <f>E30*D30</f>
        <v>0</v>
      </c>
    </row>
    <row r="31" spans="1:6" ht="25.2" customHeight="1">
      <c r="A31" s="101" t="s">
        <v>147</v>
      </c>
      <c r="B31" s="32" t="s">
        <v>85</v>
      </c>
      <c r="C31" s="102" t="s">
        <v>13</v>
      </c>
      <c r="D31" s="100">
        <v>2</v>
      </c>
      <c r="E31" s="90">
        <f>'EPI BLOCK rev'!E18</f>
        <v>0</v>
      </c>
      <c r="F31" s="91">
        <f t="shared" ref="F31:F32" si="3">E31*D31</f>
        <v>0</v>
      </c>
    </row>
    <row r="32" spans="1:6" ht="45.6" customHeight="1">
      <c r="A32" s="98" t="s">
        <v>148</v>
      </c>
      <c r="B32" s="31" t="s">
        <v>79</v>
      </c>
      <c r="C32" s="102" t="s">
        <v>13</v>
      </c>
      <c r="D32" s="103">
        <v>4</v>
      </c>
      <c r="E32" s="104"/>
      <c r="F32" s="91">
        <f t="shared" si="3"/>
        <v>0</v>
      </c>
    </row>
    <row r="33" spans="1:6">
      <c r="A33" s="97"/>
      <c r="B33" s="215" t="s">
        <v>105</v>
      </c>
      <c r="C33" s="216"/>
      <c r="D33" s="216"/>
      <c r="E33" s="217"/>
      <c r="F33" s="105">
        <f>SUBTOTAL(109,F30:F32)</f>
        <v>0</v>
      </c>
    </row>
    <row r="35" spans="1:6" ht="22.2" customHeight="1">
      <c r="A35" s="131">
        <v>4</v>
      </c>
      <c r="B35" s="132" t="s">
        <v>103</v>
      </c>
      <c r="C35" s="181"/>
      <c r="D35" s="131"/>
      <c r="E35" s="131"/>
      <c r="F35" s="131"/>
    </row>
    <row r="36" spans="1:6" ht="79.8" customHeight="1">
      <c r="A36" s="47">
        <v>4.0999999999999996</v>
      </c>
      <c r="B36" s="122" t="s">
        <v>102</v>
      </c>
      <c r="C36" s="102" t="s">
        <v>13</v>
      </c>
      <c r="D36" s="64">
        <v>2</v>
      </c>
      <c r="E36" s="64"/>
      <c r="F36" s="123">
        <f>+E36*D36</f>
        <v>0</v>
      </c>
    </row>
    <row r="37" spans="1:6" ht="16.2" customHeight="1">
      <c r="B37" s="215" t="s">
        <v>105</v>
      </c>
      <c r="C37" s="216"/>
      <c r="D37" s="216"/>
      <c r="E37" s="217"/>
      <c r="F37" s="105">
        <f>SUBTOTAL(109,F36)</f>
        <v>0</v>
      </c>
    </row>
    <row r="38" spans="1:6" ht="14.4" customHeight="1" thickBot="1">
      <c r="A38" s="212" t="s">
        <v>32</v>
      </c>
      <c r="B38" s="213"/>
      <c r="C38" s="213"/>
      <c r="D38" s="213"/>
      <c r="E38" s="214"/>
      <c r="F38" s="105">
        <f>SUBTOTAL(109,F7:F37)</f>
        <v>0</v>
      </c>
    </row>
  </sheetData>
  <mergeCells count="6">
    <mergeCell ref="A38:E38"/>
    <mergeCell ref="B37:E37"/>
    <mergeCell ref="A1:F1"/>
    <mergeCell ref="B26:E26"/>
    <mergeCell ref="B33:E33"/>
    <mergeCell ref="A2:F2"/>
  </mergeCells>
  <printOptions horizontalCentered="1"/>
  <pageMargins left="0.70866141732283472" right="0.70866141732283472" top="0.74803149606299213" bottom="0.74803149606299213" header="0.31496062992125984" footer="0.31496062992125984"/>
  <pageSetup paperSize="9" scale="49" orientation="portrait" horizontalDpi="300" verticalDpi="300" r:id="rId1"/>
  <headerFooter>
    <oddFooter>&amp;L&amp;F&amp;R&amp;Atk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K25"/>
  <sheetViews>
    <sheetView view="pageBreakPreview" topLeftCell="A19" zoomScaleNormal="102" zoomScaleSheetLayoutView="100" workbookViewId="0">
      <selection activeCell="J24" sqref="J24"/>
    </sheetView>
  </sheetViews>
  <sheetFormatPr defaultColWidth="8.88671875" defaultRowHeight="15.6"/>
  <cols>
    <col min="1" max="1" width="11.6640625" style="47" customWidth="1"/>
    <col min="2" max="2" width="67.77734375" style="47" customWidth="1"/>
    <col min="3" max="3" width="7.33203125" style="47" customWidth="1"/>
    <col min="4" max="4" width="13.109375" style="47" customWidth="1"/>
    <col min="5" max="5" width="11.6640625" style="47" customWidth="1"/>
    <col min="6" max="6" width="15.77734375" style="47" bestFit="1" customWidth="1"/>
    <col min="7" max="16384" width="8.88671875" style="47"/>
  </cols>
  <sheetData>
    <row r="1" spans="1:11" ht="20.399999999999999" customHeight="1">
      <c r="A1" s="197" t="s">
        <v>76</v>
      </c>
      <c r="B1" s="198"/>
      <c r="C1" s="198"/>
      <c r="D1" s="198"/>
      <c r="E1" s="198"/>
      <c r="F1" s="199"/>
    </row>
    <row r="2" spans="1:11" ht="16.8" customHeight="1">
      <c r="A2" s="221" t="s">
        <v>75</v>
      </c>
      <c r="B2" s="221"/>
      <c r="C2" s="221"/>
      <c r="D2" s="221"/>
      <c r="E2" s="221"/>
      <c r="F2" s="221"/>
    </row>
    <row r="3" spans="1:11" ht="16.2">
      <c r="A3" s="48" t="s">
        <v>0</v>
      </c>
      <c r="B3" s="49" t="s">
        <v>1</v>
      </c>
      <c r="C3" s="49" t="s">
        <v>2</v>
      </c>
      <c r="D3" s="50" t="s">
        <v>3</v>
      </c>
      <c r="E3" s="50" t="s">
        <v>4</v>
      </c>
      <c r="F3" s="51" t="s">
        <v>27</v>
      </c>
    </row>
    <row r="4" spans="1:11" ht="19.8" customHeight="1">
      <c r="A4" s="52" t="s">
        <v>28</v>
      </c>
      <c r="B4" s="53" t="s">
        <v>5</v>
      </c>
      <c r="C4" s="39"/>
      <c r="D4" s="54"/>
      <c r="E4" s="54"/>
      <c r="F4" s="55"/>
    </row>
    <row r="5" spans="1:11" ht="184.8" customHeight="1">
      <c r="A5" s="56">
        <v>1.1000000000000001</v>
      </c>
      <c r="B5" s="57" t="s">
        <v>72</v>
      </c>
      <c r="D5" s="54"/>
      <c r="E5" s="54"/>
      <c r="F5" s="55"/>
    </row>
    <row r="6" spans="1:11" ht="31.8" customHeight="1">
      <c r="A6" s="56" t="s">
        <v>60</v>
      </c>
      <c r="B6" s="30" t="s">
        <v>6</v>
      </c>
      <c r="C6" s="58" t="s">
        <v>77</v>
      </c>
      <c r="D6" s="54">
        <f>(3.7*3.27*8+14*3.27*2+14*4.1)</f>
        <v>245.75200000000001</v>
      </c>
      <c r="E6" s="54"/>
      <c r="F6" s="55">
        <f>E6*D6</f>
        <v>0</v>
      </c>
      <c r="H6" s="47">
        <f>4*3.5*4</f>
        <v>56</v>
      </c>
      <c r="I6" s="47">
        <f>4*8*3.2</f>
        <v>102.4</v>
      </c>
      <c r="J6" s="47">
        <f>3.5*8*3.2</f>
        <v>89.600000000000009</v>
      </c>
      <c r="K6" s="47">
        <f>SUM(H6:J6)</f>
        <v>248</v>
      </c>
    </row>
    <row r="7" spans="1:11" ht="31.2">
      <c r="A7" s="56" t="s">
        <v>61</v>
      </c>
      <c r="B7" s="30" t="s">
        <v>7</v>
      </c>
      <c r="C7" s="58" t="s">
        <v>77</v>
      </c>
      <c r="D7" s="54">
        <f>(14*3.27*2+3.7*3.27*2+3.7*1.5)</f>
        <v>121.30800000000001</v>
      </c>
      <c r="E7" s="54"/>
      <c r="F7" s="55">
        <f t="shared" ref="F7:F8" si="0">E7*D7</f>
        <v>0</v>
      </c>
      <c r="H7" s="47">
        <f>15.85*3.2</f>
        <v>50.72</v>
      </c>
      <c r="I7" s="47">
        <f>1.5*15.85</f>
        <v>23.774999999999999</v>
      </c>
    </row>
    <row r="8" spans="1:11" ht="206.4" customHeight="1">
      <c r="A8" s="37">
        <v>1.2</v>
      </c>
      <c r="B8" s="32" t="s">
        <v>78</v>
      </c>
      <c r="C8" s="58" t="s">
        <v>77</v>
      </c>
      <c r="D8" s="54">
        <f>60*0.7*0.6</f>
        <v>25.2</v>
      </c>
      <c r="E8" s="54"/>
      <c r="F8" s="55">
        <f t="shared" si="0"/>
        <v>0</v>
      </c>
    </row>
    <row r="9" spans="1:11" ht="21" customHeight="1">
      <c r="A9" s="37">
        <v>1.3</v>
      </c>
      <c r="B9" s="9" t="s">
        <v>47</v>
      </c>
      <c r="C9" s="58"/>
      <c r="D9" s="54"/>
      <c r="E9" s="54"/>
      <c r="F9" s="40"/>
    </row>
    <row r="10" spans="1:11" ht="211.8" customHeight="1">
      <c r="A10" s="37" t="s">
        <v>158</v>
      </c>
      <c r="B10" s="32" t="s">
        <v>81</v>
      </c>
      <c r="C10" s="63" t="s">
        <v>9</v>
      </c>
      <c r="D10" s="62">
        <v>4</v>
      </c>
      <c r="E10" s="62"/>
      <c r="F10" s="60">
        <f t="shared" ref="F10:F11" si="1">E10*D10</f>
        <v>0</v>
      </c>
      <c r="J10" s="45" t="s">
        <v>48</v>
      </c>
    </row>
    <row r="11" spans="1:11" ht="144.6" customHeight="1">
      <c r="A11" s="37" t="s">
        <v>159</v>
      </c>
      <c r="B11" s="61" t="s">
        <v>80</v>
      </c>
      <c r="C11" s="64" t="s">
        <v>9</v>
      </c>
      <c r="D11" s="54">
        <v>4</v>
      </c>
      <c r="E11" s="54"/>
      <c r="F11" s="60">
        <f t="shared" si="1"/>
        <v>0</v>
      </c>
    </row>
    <row r="12" spans="1:11" ht="18">
      <c r="A12" s="33"/>
      <c r="B12" s="34" t="s">
        <v>33</v>
      </c>
      <c r="C12" s="34"/>
      <c r="D12" s="35"/>
      <c r="E12" s="35"/>
      <c r="F12" s="60">
        <f>SUBTOTAL(109,F6:F11)</f>
        <v>0</v>
      </c>
    </row>
    <row r="13" spans="1:11" ht="16.2">
      <c r="A13" s="37">
        <v>2</v>
      </c>
      <c r="B13" s="38" t="s">
        <v>74</v>
      </c>
      <c r="C13" s="39"/>
      <c r="D13" s="39"/>
      <c r="E13" s="39"/>
      <c r="F13" s="40"/>
    </row>
    <row r="14" spans="1:11" ht="133.19999999999999" customHeight="1">
      <c r="A14" s="37">
        <v>2.1</v>
      </c>
      <c r="B14" s="32" t="s">
        <v>73</v>
      </c>
      <c r="C14" s="39"/>
      <c r="D14" s="39"/>
      <c r="E14" s="39"/>
      <c r="F14" s="40"/>
    </row>
    <row r="15" spans="1:11" ht="32.4" customHeight="1">
      <c r="A15" s="37" t="s">
        <v>22</v>
      </c>
      <c r="B15" s="41" t="s">
        <v>88</v>
      </c>
      <c r="C15" s="43" t="s">
        <v>13</v>
      </c>
      <c r="D15" s="43">
        <v>4</v>
      </c>
      <c r="E15" s="43"/>
      <c r="F15" s="60">
        <f>E15*D15</f>
        <v>0</v>
      </c>
    </row>
    <row r="16" spans="1:11" ht="117.6" customHeight="1">
      <c r="A16" s="42" t="s">
        <v>23</v>
      </c>
      <c r="B16" s="65" t="s">
        <v>87</v>
      </c>
      <c r="C16" s="43"/>
      <c r="D16" s="43"/>
      <c r="E16" s="43"/>
      <c r="F16" s="40"/>
    </row>
    <row r="17" spans="1:6" ht="28.8" customHeight="1">
      <c r="A17" s="42" t="s">
        <v>86</v>
      </c>
      <c r="B17" s="32" t="s">
        <v>85</v>
      </c>
      <c r="C17" s="44" t="s">
        <v>13</v>
      </c>
      <c r="D17" s="44">
        <v>3</v>
      </c>
      <c r="E17" s="44"/>
      <c r="F17" s="60">
        <f t="shared" ref="F17:F18" si="2">E17*D17</f>
        <v>0</v>
      </c>
    </row>
    <row r="18" spans="1:6" ht="35.4" customHeight="1">
      <c r="A18" s="37" t="s">
        <v>25</v>
      </c>
      <c r="B18" s="31" t="s">
        <v>79</v>
      </c>
      <c r="C18" s="44" t="s">
        <v>13</v>
      </c>
      <c r="D18" s="44">
        <v>2</v>
      </c>
      <c r="E18" s="44"/>
      <c r="F18" s="60">
        <f t="shared" si="2"/>
        <v>0</v>
      </c>
    </row>
    <row r="19" spans="1:6" ht="18">
      <c r="A19" s="33"/>
      <c r="B19" s="34" t="s">
        <v>14</v>
      </c>
      <c r="C19" s="34"/>
      <c r="D19" s="34"/>
      <c r="E19" s="34"/>
      <c r="F19" s="60">
        <f>SUBTOTAL(109,F15:F18)</f>
        <v>0</v>
      </c>
    </row>
    <row r="20" spans="1:6" ht="18">
      <c r="A20" s="59">
        <v>3</v>
      </c>
      <c r="B20" s="130" t="s">
        <v>103</v>
      </c>
      <c r="C20" s="40"/>
      <c r="D20" s="34"/>
      <c r="E20" s="34"/>
      <c r="F20" s="40"/>
    </row>
    <row r="21" spans="1:6" ht="93.6">
      <c r="A21" s="59">
        <v>3.1</v>
      </c>
      <c r="B21" s="122" t="s">
        <v>102</v>
      </c>
      <c r="C21" s="102" t="s">
        <v>13</v>
      </c>
      <c r="D21" s="64">
        <v>4</v>
      </c>
      <c r="E21" s="64"/>
      <c r="F21" s="123">
        <f>+E21*D21</f>
        <v>0</v>
      </c>
    </row>
    <row r="22" spans="1:6" ht="18">
      <c r="A22" s="59"/>
      <c r="B22" s="34" t="s">
        <v>14</v>
      </c>
      <c r="C22" s="34"/>
      <c r="D22" s="34"/>
      <c r="E22" s="34"/>
      <c r="F22" s="60">
        <f>SUBTOTAL(109,F21)</f>
        <v>0</v>
      </c>
    </row>
    <row r="23" spans="1:6" ht="15.6" customHeight="1">
      <c r="A23" s="222" t="s">
        <v>32</v>
      </c>
      <c r="B23" s="223"/>
      <c r="C23" s="223"/>
      <c r="D23" s="223"/>
      <c r="E23" s="224"/>
      <c r="F23" s="60">
        <f>SUBTOTAL(109,F5:F22)</f>
        <v>0</v>
      </c>
    </row>
    <row r="25" spans="1:6">
      <c r="F25" s="162"/>
    </row>
  </sheetData>
  <mergeCells count="3">
    <mergeCell ref="A1:F1"/>
    <mergeCell ref="A2:F2"/>
    <mergeCell ref="A23:E23"/>
  </mergeCells>
  <pageMargins left="0.7" right="0.7" top="0.75" bottom="0.75" header="0.3" footer="0.3"/>
  <pageSetup paperSize="9" scale="6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SUMMARY</vt:lpstr>
      <vt:lpstr>MCH BOQ rev</vt:lpstr>
      <vt:lpstr>EPI BLOCK rev</vt:lpstr>
      <vt:lpstr>Triage and Meeting Hall</vt:lpstr>
      <vt:lpstr>Emergency Block BOQ rev</vt:lpstr>
      <vt:lpstr> OPD BOQrev</vt:lpstr>
      <vt:lpstr>' OPD BOQrev'!Print_Area</vt:lpstr>
      <vt:lpstr>'Emergency Block BOQ rev'!Print_Area</vt:lpstr>
      <vt:lpstr>'EPI BLOCK rev'!Print_Area</vt:lpstr>
      <vt:lpstr>'MCH BOQ rev'!Print_Area</vt:lpstr>
      <vt:lpstr>SUMMARY!Print_Area</vt:lpstr>
      <vt:lpstr>'Triage and Meeting Hall'!Print_Area</vt:lpstr>
      <vt:lpstr>'MCH BOQ rev'!Print_Titles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cuamm</dc:creator>
  <cp:lastModifiedBy>Tekalign Jembere</cp:lastModifiedBy>
  <cp:lastPrinted>2025-10-22T11:33:32Z</cp:lastPrinted>
  <dcterms:created xsi:type="dcterms:W3CDTF">2024-08-26T17:43:08Z</dcterms:created>
  <dcterms:modified xsi:type="dcterms:W3CDTF">2025-10-22T11:37:36Z</dcterms:modified>
</cp:coreProperties>
</file>