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504" windowWidth="15924" windowHeight="13176" tabRatio="670" activeTab="3"/>
  </bookViews>
  <sheets>
    <sheet name="Cover Page" sheetId="41" r:id="rId1"/>
    <sheet name="preamble to BOQ" sheetId="42" r:id="rId2"/>
    <sheet name="Summary" sheetId="21" r:id="rId3"/>
    <sheet name="BOQ" sheetId="20" r:id="rId4"/>
    <sheet name="MECH" sheetId="43" r:id="rId5"/>
    <sheet name="Rebar" sheetId="29"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dhfsjhfsfjfjfj">'[4]05 Ar &amp; St'!#REF!</definedName>
    <definedName name="_____con25">#REF!</definedName>
    <definedName name="____dim03670">#REF!</definedName>
    <definedName name="____gip1">#REF!</definedName>
    <definedName name="____gip2">#REF!</definedName>
    <definedName name="____hcb20">#REF!</definedName>
    <definedName name="____snf300250">#REF!</definedName>
    <definedName name="____tms118">#REF!</definedName>
    <definedName name="____tms136">#REF!</definedName>
    <definedName name="____tms236">#REF!</definedName>
    <definedName name="____tmw065136">#REF!</definedName>
    <definedName name="___A122816">#REF!</definedName>
    <definedName name="___con25">#REF!</definedName>
    <definedName name="___dim03670">#REF!</definedName>
    <definedName name="___gip1">#REF!</definedName>
    <definedName name="___gip2">#REF!</definedName>
    <definedName name="___hcb20">#REF!</definedName>
    <definedName name="___snf300250">#REF!</definedName>
    <definedName name="___tms118">#REF!</definedName>
    <definedName name="___tms136">#REF!</definedName>
    <definedName name="___tms236">#REF!</definedName>
    <definedName name="___tmw065136">#REF!</definedName>
    <definedName name="__A122816">#REF!</definedName>
    <definedName name="__con25">#REF!</definedName>
    <definedName name="__dim03670">#REF!</definedName>
    <definedName name="__flr2">'[1] L -1  sub R-bar for 200Kpa '!$G$1:$G$65536</definedName>
    <definedName name="__gip1">#REF!</definedName>
    <definedName name="__gip2">#REF!</definedName>
    <definedName name="__hcb20">#REF!</definedName>
    <definedName name="__len2">'[1] L -1  sub R-bar for 200Kpa '!$F$1:$F$65536</definedName>
    <definedName name="__mbr2">'[1] L -1  sub R-bar for 200Kpa '!$H$1:$H$65536</definedName>
    <definedName name="__rbr2">'[1] L -1  sub R-bar for 200Kpa '!$I$1:$I$65536</definedName>
    <definedName name="__snf300250">#REF!</definedName>
    <definedName name="__tms118">#REF!</definedName>
    <definedName name="__tms136">#REF!</definedName>
    <definedName name="__tms236">#REF!</definedName>
    <definedName name="__tmw065136">#REF!</definedName>
    <definedName name="_A122816">#REF!</definedName>
    <definedName name="_con25">#REF!</definedName>
    <definedName name="_dim03670">#REF!</definedName>
    <definedName name="_Flr1">'[2]RHS and Lattice purline A-2'!$G$1:$G$65536</definedName>
    <definedName name="_flr2">'[3] L -1  sub R-bar for 200Kpa '!$G$1:$G$65536</definedName>
    <definedName name="_gip1">#REF!</definedName>
    <definedName name="_gip2">#REF!</definedName>
    <definedName name="_hcb20">#REF!</definedName>
    <definedName name="_len2">'[3] L -1  sub R-bar for 200Kpa '!$F$1:$F$65536</definedName>
    <definedName name="_MatInverse_In" hidden="1">#REF!</definedName>
    <definedName name="_mbr1">'[2]RHS and Lattice purline A-2'!$H$1:$H$65536</definedName>
    <definedName name="_mbr2">'[3] L -1  sub R-bar for 200Kpa '!$H$1:$H$65536</definedName>
    <definedName name="_Order1" hidden="1">255</definedName>
    <definedName name="_rbr2">'[3] L -1  sub R-bar for 200Kpa '!$I$1:$I$65536</definedName>
    <definedName name="_snf300250">#REF!</definedName>
    <definedName name="_tms118">#REF!</definedName>
    <definedName name="_tms136">#REF!</definedName>
    <definedName name="_tms236">#REF!</definedName>
    <definedName name="_tmw065136">#REF!</definedName>
    <definedName name="a">#REF!</definedName>
    <definedName name="aaaa">#REF!</definedName>
    <definedName name="aaaaa">#REF!</definedName>
    <definedName name="aaaaaaaa">#REF!</definedName>
    <definedName name="ABC">#REF!</definedName>
    <definedName name="abel">#REF!</definedName>
    <definedName name="acb10a1p">#REF!</definedName>
    <definedName name="acb10a3p">#REF!</definedName>
    <definedName name="acb16a1p">#REF!</definedName>
    <definedName name="acb16a3p">#REF!</definedName>
    <definedName name="acb20a1p">#REF!</definedName>
    <definedName name="acb20a3p">#REF!</definedName>
    <definedName name="acb25a1p">#REF!</definedName>
    <definedName name="acb25a3p">#REF!</definedName>
    <definedName name="acb2a1p">#REF!</definedName>
    <definedName name="acb32a1p">#REF!</definedName>
    <definedName name="acb32a3p">#REF!</definedName>
    <definedName name="acb40a1p">#REF!</definedName>
    <definedName name="acb40a3p">#REF!</definedName>
    <definedName name="acb40a3p2">#REF!</definedName>
    <definedName name="acb50a1p">#REF!</definedName>
    <definedName name="acb50a3p">#REF!</definedName>
    <definedName name="acb63a1p">#REF!</definedName>
    <definedName name="acb63a3p">#REF!</definedName>
    <definedName name="acb6a1p">#REF!</definedName>
    <definedName name="acb6a3p">#REF!</definedName>
    <definedName name="Advance_Repay">#REF!</definedName>
    <definedName name="afdaf">#REF!</definedName>
    <definedName name="airterminal1">#REF!</definedName>
    <definedName name="analyses">#REF!</definedName>
    <definedName name="asdgadg">#REF!</definedName>
    <definedName name="asfgas">#REF!</definedName>
    <definedName name="b">#REF!</definedName>
    <definedName name="bbbbb">#REF!</definedName>
    <definedName name="bbbbbbbb">#REF!</definedName>
    <definedName name="bbbbbbbbbbbbbbbb">#REF!</definedName>
    <definedName name="Beg_Bal">#REF!</definedName>
    <definedName name="bell">#REF!</definedName>
    <definedName name="bellcallpoint">#REF!</definedName>
    <definedName name="belltransformer">#REF!</definedName>
    <definedName name="bill">#REF!</definedName>
    <definedName name="block_range">'[4]A-2 blcok work Res.'!$A$1:$E$65536</definedName>
    <definedName name="Block_Summary">#REF!</definedName>
    <definedName name="Block_total">'[5]Ar &amp; St'!$M$46</definedName>
    <definedName name="Block_Work">'[4]05 Ar &amp; St'!#REF!</definedName>
    <definedName name="Block_work_range">'[6]E-1 Block Work Residence'!$A$1:$F$65536</definedName>
    <definedName name="Block_work_total">'[4]05 Ar &amp; St'!$M$49</definedName>
    <definedName name="boq">#REF!</definedName>
    <definedName name="buzzer">#REF!</definedName>
    <definedName name="bvvhjh">#REF!</definedName>
    <definedName name="CABLE">[7]price!$G$51</definedName>
    <definedName name="cable2x1.5">#REF!</definedName>
    <definedName name="cable2x10">#REF!</definedName>
    <definedName name="cable2x16">#REF!</definedName>
    <definedName name="cable2x2.5">#REF!</definedName>
    <definedName name="cable2x4">#REF!</definedName>
    <definedName name="cable2x6">#REF!</definedName>
    <definedName name="cable3x1.5">#REF!</definedName>
    <definedName name="cable3x10">#REF!</definedName>
    <definedName name="cable3x12070">#REF!</definedName>
    <definedName name="cable3x15070">#REF!</definedName>
    <definedName name="cable3x16">#REF!</definedName>
    <definedName name="cable3x18595">#REF!</definedName>
    <definedName name="cable3x2.5">#REF!</definedName>
    <definedName name="cable3x240120">#REF!</definedName>
    <definedName name="cable3x2516">#REF!</definedName>
    <definedName name="cable3x300150">#REF!</definedName>
    <definedName name="cable3x3516">#REF!</definedName>
    <definedName name="cable3x4">#REF!</definedName>
    <definedName name="cable3x5025">#REF!</definedName>
    <definedName name="cable3x6">#REF!</definedName>
    <definedName name="cable3x7035">#REF!</definedName>
    <definedName name="cable3x9550">#REF!</definedName>
    <definedName name="cable4x1.5">#REF!</definedName>
    <definedName name="cable4x10">#REF!</definedName>
    <definedName name="cable4x16">#REF!</definedName>
    <definedName name="cable4x2.5">#REF!</definedName>
    <definedName name="cable4x4">#REF!</definedName>
    <definedName name="cable4x6">#REF!</definedName>
    <definedName name="cabletray200x100">#REF!</definedName>
    <definedName name="cabletray400x100">#REF!</definedName>
    <definedName name="cabletray500x110">#REF!</definedName>
    <definedName name="cabletray500x75">#REF!</definedName>
    <definedName name="callpanel12no">#REF!</definedName>
    <definedName name="callpanel16no">#REF!</definedName>
    <definedName name="callpanel24no">#REF!</definedName>
    <definedName name="callpanel8no">#REF!</definedName>
    <definedName name="ccc">#REF!</definedName>
    <definedName name="ceiling">#REF!</definedName>
    <definedName name="ceilingglobe">#REF!</definedName>
    <definedName name="cemic">#REF!</definedName>
    <definedName name="cisheet">#REF!</definedName>
    <definedName name="Column_Info">#REF!</definedName>
    <definedName name="Concrete_total">'[8] Ar &amp; St'!$M$39</definedName>
    <definedName name="conductor10">#REF!</definedName>
    <definedName name="conductor16">#REF!</definedName>
    <definedName name="conductor25">#REF!</definedName>
    <definedName name="conductor35">#REF!</definedName>
    <definedName name="conductor4">#REF!</definedName>
    <definedName name="conductor50">#REF!</definedName>
    <definedName name="conductor6">#REF!</definedName>
    <definedName name="conductor70">#REF!</definedName>
    <definedName name="conduit110">#REF!</definedName>
    <definedName name="conduit13.5">#REF!</definedName>
    <definedName name="conduit16">#REF!</definedName>
    <definedName name="conduit19">#REF!</definedName>
    <definedName name="conduit20">#REF!</definedName>
    <definedName name="conduit21">#REF!</definedName>
    <definedName name="conduit25">#REF!</definedName>
    <definedName name="conduit29">#REF!</definedName>
    <definedName name="conduit32">#REF!</definedName>
    <definedName name="conduit36">#REF!</definedName>
    <definedName name="conduit40">#REF!</definedName>
    <definedName name="conduit50">#REF!</definedName>
    <definedName name="conduit75">#REF!</definedName>
    <definedName name="CONT_QTY">#REF!</definedName>
    <definedName name="contactor10a3p">#REF!</definedName>
    <definedName name="contactor16a3p">#REF!</definedName>
    <definedName name="contactor25a3p">#REF!</definedName>
    <definedName name="contactor32a3p">#REF!</definedName>
    <definedName name="contactor40a3p">#REF!</definedName>
    <definedName name="contactor60a3p">#REF!</definedName>
    <definedName name="contactor6a3p">#REF!</definedName>
    <definedName name="contactor90a3p">#REF!</definedName>
    <definedName name="ContQTYsb">'[4]05 Sub Structure BC = 300'!$F$1:$F$65536</definedName>
    <definedName name="ContQTYsp">'[4]05 Ar &amp; St'!$F$1:$F$65536</definedName>
    <definedName name="ContQTYspr">'[9]Super BOQ'!$F:$F</definedName>
    <definedName name="coppertape25x3">#REF!</definedName>
    <definedName name="Cum_Int">#REF!</definedName>
    <definedName name="curt_qty_sub">'[10]Sub Structure BC = 300'!$I$1:$I$65536</definedName>
    <definedName name="curt_qty_subs">#REF!</definedName>
    <definedName name="CurtAMTsb">'[4]05 Sub Structure BC = 300'!$L$1:$L$65536</definedName>
    <definedName name="CurtAMTspr">'[4]05 Ar &amp; St'!$L$1:$L$65536</definedName>
    <definedName name="CurtAmtsub2">#REF!</definedName>
    <definedName name="CurtQTYsb">'[4]05 Sub Structure BC = 300'!$I$1:$I$65536</definedName>
    <definedName name="CurtQTYspr">'[4]05 Ar &amp; St'!$I$1:$I$65536</definedName>
    <definedName name="CurtQtysub2">#REF!</definedName>
    <definedName name="czdczc">#REF!</definedName>
    <definedName name="d">'[11] analysis'!$J$64</definedName>
    <definedName name="DALI_8BUTTON">#REF!</definedName>
    <definedName name="DALI_DIMMER">#REF!</definedName>
    <definedName name="DALI_INFRARED_SENSOR">#REF!</definedName>
    <definedName name="dali_infraredsensor">#REF!</definedName>
    <definedName name="DALI_MULTISENSOR">#REF!</definedName>
    <definedName name="DALI_POWERSUPPLY">#REF!</definedName>
    <definedName name="DALI_PROGRAM">#REF!</definedName>
    <definedName name="DALI_RELAY">#REF!</definedName>
    <definedName name="dali_remote">#REF!</definedName>
    <definedName name="DALI_SOFTWARE">#REF!</definedName>
    <definedName name="Data">#REF!</definedName>
    <definedName name="data_telecom">#REF!</definedName>
    <definedName name="Dayworks">#REF!</definedName>
    <definedName name="Dayworks10">#REF!</definedName>
    <definedName name="Dayworks11">#REF!</definedName>
    <definedName name="Dayworks12">#REF!</definedName>
    <definedName name="Dayworks13">#REF!</definedName>
    <definedName name="Dayworks14">#REF!</definedName>
    <definedName name="Dayworks15">#REF!</definedName>
    <definedName name="Dayworks16">#REF!</definedName>
    <definedName name="Dayworks2">#REF!</definedName>
    <definedName name="Dayworks3">#REF!</definedName>
    <definedName name="Dayworks4">#REF!</definedName>
    <definedName name="Dayworks5">#REF!</definedName>
    <definedName name="Dayworks6">#REF!</definedName>
    <definedName name="Dayworks7">#REF!</definedName>
    <definedName name="Dayworks8">#REF!</definedName>
    <definedName name="Dayworks9">#REF!</definedName>
    <definedName name="dddd">#REF!</definedName>
    <definedName name="dddddddd">#REF!</definedName>
    <definedName name="ddsss">#REF!</definedName>
    <definedName name="Depth_of_Bulk">'[12]Solomon Weldu A2,E1-FevV'!#REF!</definedName>
    <definedName name="df">#REF!</definedName>
    <definedName name="Dia">#REF!</definedName>
    <definedName name="dilla1">#REF!</definedName>
    <definedName name="dimmerswitch1200w">#REF!</definedName>
    <definedName name="dimmerswitch2000w">#REF!</definedName>
    <definedName name="dimmerswitch300w">#REF!</definedName>
    <definedName name="Door">'[13]Windows and Doors'!$A$5:$Y$10</definedName>
    <definedName name="doorswitchpoint">#REF!</definedName>
    <definedName name="doubleswitch">#REF!</definedName>
    <definedName name="doubletwowayswitch">#REF!</definedName>
    <definedName name="e">'[11] analysis'!$J$64</definedName>
    <definedName name="Earth_W">#REF!</definedName>
    <definedName name="Earth_work">'[4]05 Sub Structure BC = 300'!$M$24</definedName>
    <definedName name="earthrod1200x16">#REF!</definedName>
    <definedName name="earthrod2400x16">#REF!</definedName>
    <definedName name="eeeee">#REF!</definedName>
    <definedName name="eere343">#REF!</definedName>
    <definedName name="End_Bal">#REF!</definedName>
    <definedName name="Equip">'[14]Equipment data'!$B$9:$B$31</definedName>
    <definedName name="ergerh">#REF!</definedName>
    <definedName name="Excavation">'[15] E2 Res (EXC&amp;MAS200kp)'!$A$1:$E$65536</definedName>
    <definedName name="Extra_Pay">#REF!</definedName>
    <definedName name="F">'[9]Supr Rebar'!$G:$G</definedName>
    <definedName name="fasdf">'[13]BOQ Ar &amp; St'!$F$1:$F$65536</definedName>
    <definedName name="fefeef">'[4]05 RB A-2 300kp Res. Sub St.'!#REF!</definedName>
    <definedName name="fffff">#REF!</definedName>
    <definedName name="ffffff">#REF!</definedName>
    <definedName name="ffffffffffffffff">#REF!</definedName>
    <definedName name="ffsfssfsg">#REF!</definedName>
    <definedName name="ffsgsg">#REF!</definedName>
    <definedName name="fhjf">#REF!</definedName>
    <definedName name="ficotp">#REF!</definedName>
    <definedName name="Finishing">'[4]05 Ar &amp; St'!#REF!</definedName>
    <definedName name="Finishing_60">'[16]05 A-2 300kp Res. Sup St.'!$A$1:$F$65536</definedName>
    <definedName name="Finishing_range">#REF!</definedName>
    <definedName name="Finishing_total">#REF!</definedName>
    <definedName name="Finisning_total">'[5]Ar &amp; St'!#REF!</definedName>
    <definedName name="firealarmcontrolpanel">#REF!</definedName>
    <definedName name="floatswitch">#REF!</definedName>
    <definedName name="floorbox">#REF!</definedName>
    <definedName name="flortil">#REF!</definedName>
    <definedName name="Flr">'[13]Sub-Structure Rein'!$G$1:$G$65536</definedName>
    <definedName name="flushpanel12acb">#REF!</definedName>
    <definedName name="flushpanel15acb">#REF!</definedName>
    <definedName name="flushpanel24acb">#REF!</definedName>
    <definedName name="flushpanel36acb">#REF!</definedName>
    <definedName name="flushpanel48acb">#REF!</definedName>
    <definedName name="flushpanel4acb">#REF!</definedName>
    <definedName name="flushpanel6acb">#REF!</definedName>
    <definedName name="flushpanel8acb">#REF!</definedName>
    <definedName name="Footing_Type1">#REF!</definedName>
    <definedName name="formw">#REF!</definedName>
    <definedName name="fr">'[17] Rebar. C '!$G$8:$G$64988</definedName>
    <definedName name="ftt">#REF!</definedName>
    <definedName name="Full_Print">#REF!</definedName>
    <definedName name="fusedswitch125a3p">#REF!</definedName>
    <definedName name="fusedswitch250a3p">#REF!</definedName>
    <definedName name="fusedswitch4003p">#REF!</definedName>
    <definedName name="fusedswitch630a3p">#REF!</definedName>
    <definedName name="fusedswitch63a3p">#REF!</definedName>
    <definedName name="g">#REF!</definedName>
    <definedName name="gddhdhdh">#REF!</definedName>
    <definedName name="gegege">#REF!</definedName>
    <definedName name="GFG">#REF!</definedName>
    <definedName name="gfgfgfgfh">#REF!</definedName>
    <definedName name="gg">#REF!</definedName>
    <definedName name="ggggg">'[17]Block A Rebar'!$F$8:$F$65276</definedName>
    <definedName name="gggggg">'[17]Block A Rebar'!$F$8:$F$65283</definedName>
    <definedName name="gggggggggggg">#REF!</definedName>
    <definedName name="gh">#REF!</definedName>
    <definedName name="ghg">#REF!</definedName>
    <definedName name="GINSHO">#REF!</definedName>
    <definedName name="gip0.5">#REF!</definedName>
    <definedName name="gip0.75">#REF!</definedName>
    <definedName name="glaz">#REF!</definedName>
    <definedName name="glz">'[18]A2 for above 3rd floor'!$G$140</definedName>
    <definedName name="gslabc20">#REF!</definedName>
    <definedName name="h">#REF!</definedName>
    <definedName name="hard">#REF!</definedName>
    <definedName name="Header_Row">ROW(#REF!)</definedName>
    <definedName name="Height_b_n_FFL_and_Bottom_of_Pit1">#REF!</definedName>
    <definedName name="Height_b_n_Profile_and_Bottom_of_Pit1">#REF!</definedName>
    <definedName name="Height_b_n_Profile_and_FFL1">#REF!</definedName>
    <definedName name="Height_b_n_Profile_and_NGL1">#REF!</definedName>
    <definedName name="Height_b_n_Profile_and_RGL1">#REF!</definedName>
    <definedName name="hfhfgh">#REF!</definedName>
    <definedName name="hfhfhfhff">#REF!</definedName>
    <definedName name="hfhfhhf">#REF!</definedName>
    <definedName name="hfjdfhjkahfkaj">#REF!</definedName>
    <definedName name="hghgh">#REF!</definedName>
    <definedName name="hh">#REF!</definedName>
    <definedName name="hhg_bcgf">'[4]05 Ar &amp; St'!#REF!</definedName>
    <definedName name="hhh">#REF!</definedName>
    <definedName name="hhhh">#REF!</definedName>
    <definedName name="hhhhh">#REF!</definedName>
    <definedName name="hhhhhh">'[17]Block A Rebar'!$H$8:$H$65275</definedName>
    <definedName name="hhjkljkljljklj">#REF!</definedName>
    <definedName name="hilina">#REF!</definedName>
    <definedName name="hjcgj">'[17]Block A Rebar'!$F$8:$F$66161</definedName>
    <definedName name="hjfhjfhjfjh">#REF!</definedName>
    <definedName name="hjgfnsdfd">#REF!</definedName>
    <definedName name="Int">#REF!</definedName>
    <definedName name="Interest_Rate">#REF!</definedName>
    <definedName name="intermediateswitch">#REF!</definedName>
    <definedName name="international">#REF!</definedName>
    <definedName name="jfhjfjhjf">#REF!</definedName>
    <definedName name="jfhjhfjhfjhj">#REF!</definedName>
    <definedName name="jfjfhh">#REF!</definedName>
    <definedName name="jgjgjgj">'[17]Block A Rebar'!$F$8:$F$66053</definedName>
    <definedName name="jhfhhffhd">'[4]05 Ar &amp; St'!#REF!</definedName>
    <definedName name="jjj">#REF!</definedName>
    <definedName name="jjjkjkj">#REF!</definedName>
    <definedName name="jkkkk">#REF!</definedName>
    <definedName name="jnry">'[18]A2 for above 3rd floor'!$G$56</definedName>
    <definedName name="Joinery">'[4]05 Ar &amp; St'!#REF!</definedName>
    <definedName name="jtvjbkn">#REF!</definedName>
    <definedName name="KASSAYE">#REF!</definedName>
    <definedName name="kk">#REF!</definedName>
    <definedName name="kkk">#REF!</definedName>
    <definedName name="kkkkk">'[12]Solomon Weldu A2,E1-FevV'!#REF!</definedName>
    <definedName name="kkkkkk">'[19]Sub Structure BC = 200'!#REF!</definedName>
    <definedName name="KWH32A1P">#REF!</definedName>
    <definedName name="kwh63a1p">#REF!</definedName>
    <definedName name="KWH63A3P">#REF!</definedName>
    <definedName name="Landscaping">'[4]05 Ar &amp; St'!#REF!</definedName>
    <definedName name="Last_Row">IF(Values_Entered,Header_Row+Number_of_Payments,Header_Row)</definedName>
    <definedName name="latch">#REF!</definedName>
    <definedName name="ldsp">'[18]A2 for above 3rd floor'!$G$145</definedName>
    <definedName name="Length">'[13]Sub-Structure Rein'!$F$1:$F$65536</definedName>
    <definedName name="length1">'[2]RHS and Lattice purline A-2'!$F$1:$F$65536</definedName>
    <definedName name="lightpoint">#REF!</definedName>
    <definedName name="llll">#REF!</definedName>
    <definedName name="lllllll">#REF!</definedName>
    <definedName name="LNG">'[9]Supr Rebar'!$F:$F</definedName>
    <definedName name="Loan_Amount">#REF!</definedName>
    <definedName name="Loan_Start">#REF!</definedName>
    <definedName name="Loan_Years">#REF!</definedName>
    <definedName name="lot">#REF!</definedName>
    <definedName name="M">'[9]Supr Rebar'!$H:$H</definedName>
    <definedName name="masa">#REF!</definedName>
    <definedName name="masb">#REF!</definedName>
    <definedName name="Masonry_Work">'[4]05 Sub Structure BC = 300'!$M$62</definedName>
    <definedName name="Mbr">'[13]Sub-Structure Rein'!$H$1:$H$65536</definedName>
    <definedName name="mccb1000a3p">#REF!</definedName>
    <definedName name="mccb100a3p">#REF!</definedName>
    <definedName name="mccb1250a3p">#REF!</definedName>
    <definedName name="mccb125a3p">#REF!</definedName>
    <definedName name="mccb1600a3p">#REF!</definedName>
    <definedName name="mccb160a3p">#REF!</definedName>
    <definedName name="mccb200a3p">#REF!</definedName>
    <definedName name="mccb250a3p">#REF!</definedName>
    <definedName name="mccb315a3p">#REF!</definedName>
    <definedName name="mccb350a3p">#REF!</definedName>
    <definedName name="mccb400a3p">#REF!</definedName>
    <definedName name="mccb500a3p">#REF!</definedName>
    <definedName name="mccb630a3p">#REF!</definedName>
    <definedName name="mccb80a3p">#REF!</definedName>
    <definedName name="Metal_Work">'[4]05 Ar &amp; St'!#REF!</definedName>
    <definedName name="MEWD">#REF!</definedName>
    <definedName name="mh">'[4]05 Ar &amp; St'!#REF!</definedName>
    <definedName name="mmm">#REF!</definedName>
    <definedName name="mmmmmm">#REF!</definedName>
    <definedName name="movement_sensor">#REF!</definedName>
    <definedName name="MR">'[20]communal sub r-bar'!$H$1:$H$65536</definedName>
    <definedName name="mtl">'[18]A2 for above 3rd floor'!$G$74</definedName>
    <definedName name="nbnnnb">#REF!</definedName>
    <definedName name="new">'[21] analysis'!$J$64</definedName>
    <definedName name="NEWR">'[21] analysis'!$J$64</definedName>
    <definedName name="nnbnbnbnbc">#REF!</definedName>
    <definedName name="nnnnc">#REF!</definedName>
    <definedName name="nnnnnn">'[4]05 Ar &amp; St'!#REF!</definedName>
    <definedName name="Num_Pmt_Per_Year">#REF!</definedName>
    <definedName name="Number_of_Payments">MATCH(0.01,End_Bal,-1)+1</definedName>
    <definedName name="nvnvnvnv">#REF!</definedName>
    <definedName name="pacific095136">#REF!</definedName>
    <definedName name="pacific095236">#REF!</definedName>
    <definedName name="paint">#REF!</definedName>
    <definedName name="Pay_Date">#REF!</definedName>
    <definedName name="Pay_Num">#REF!</definedName>
    <definedName name="Payment_Date" localSheetId="4">DATE(YEAR([0]!Loan_Start),MONTH([0]!Loan_Start)+Payment_Number,DAY([0]!Loan_Start))</definedName>
    <definedName name="Payment_Date">DATE(YEAR(Loan_Start),MONTH(Loan_Start)+Payment_Number,DAY(Loan_Start))</definedName>
    <definedName name="photocell">#REF!</definedName>
    <definedName name="plate_range">#REF!</definedName>
    <definedName name="Plates">#REF!</definedName>
    <definedName name="pnt">'[18]A2 for above 3rd floor'!$G$134</definedName>
    <definedName name="po">#REF!</definedName>
    <definedName name="point">#REF!</definedName>
    <definedName name="POOOOOOOO">#REF!</definedName>
    <definedName name="poouuuuuuuuu">#REF!</definedName>
    <definedName name="potyyyy">#REF!</definedName>
    <definedName name="poweroutlet25a1p3x6">#REF!</definedName>
    <definedName name="poweroutlet25a3p4x6">#REF!</definedName>
    <definedName name="prev_qty_sup">'[22] Ar &amp; St'!$H$1:$H$65536</definedName>
    <definedName name="prev_qy_sub">'[10]Sub Structure BC = 300'!$H$1:$H$65536</definedName>
    <definedName name="PrevAMTsb">'[4]05 Sub Structure BC = 300'!$K$1:$K$65536</definedName>
    <definedName name="PrevAMTspr">'[4]05 Ar &amp; St'!$K$1:$K$65536</definedName>
    <definedName name="PrevAmtSub2">#REF!</definedName>
    <definedName name="preventorp1">#REF!</definedName>
    <definedName name="preventorp2">#REF!</definedName>
    <definedName name="preventorp3">#REF!</definedName>
    <definedName name="preventorp4">#REF!</definedName>
    <definedName name="prevqty2">#REF!</definedName>
    <definedName name="PrevQTYsb">'[4]05 Sub Structure BC = 300'!$H$1:$H$65536</definedName>
    <definedName name="PrevQTYsb2">#REF!</definedName>
    <definedName name="PrevQTYspr">'[4]05 Ar &amp; St'!$H$1:$H$65536</definedName>
    <definedName name="PrevQtysub2">#REF!</definedName>
    <definedName name="Princ">#REF!</definedName>
    <definedName name="_xlnm.Print_Area" localSheetId="3">BOQ!$A$1:$F$212</definedName>
    <definedName name="_xlnm.Print_Area" localSheetId="0">'Cover Page'!$A$1:$J$42</definedName>
    <definedName name="_xlnm.Print_Area" localSheetId="4">MECH!$A$1:$F$11</definedName>
    <definedName name="_xlnm.Print_Area" localSheetId="1">'preamble to BOQ'!$A$1:$A$41</definedName>
    <definedName name="_xlnm.Print_Area" localSheetId="2">Summary!$A$1:$C$32</definedName>
    <definedName name="Print_Area_Reset">OFFSET(Full_Print,0,0,Last_Row)</definedName>
    <definedName name="_xlnm.Print_Titles" localSheetId="3">BOQ!$2:$2</definedName>
    <definedName name="_xlnm.Print_Titles" localSheetId="4">MECH!$2:$2</definedName>
    <definedName name="ptli">#REF!</definedName>
    <definedName name="pvcconductor1.5">#REF!</definedName>
    <definedName name="pvcconductor10">#REF!</definedName>
    <definedName name="pvcconductor16">#REF!</definedName>
    <definedName name="pvcconductor2.5">#REF!</definedName>
    <definedName name="pvcconductor25">#REF!</definedName>
    <definedName name="pvcconductor4">#REF!</definedName>
    <definedName name="pvcconductor6">#REF!</definedName>
    <definedName name="Q">#REF!</definedName>
    <definedName name="rahel">#REF!</definedName>
    <definedName name="Ratesb">'[4]05 Sub Structure BC = 300'!$E$1:$E$65536</definedName>
    <definedName name="Ratesp">'[4]05 Ar &amp; St'!$E$1:$E$65536</definedName>
    <definedName name="RB">'[9]Supr Rebar'!$I:$I</definedName>
    <definedName name="Rbar1">'[2]RHS and Lattice purline A-2'!$I$1:$I$65536</definedName>
    <definedName name="Rbr">'[13]Sub-Structure Rein'!$I$1:$I$65536</definedName>
    <definedName name="rei">#REF!</definedName>
    <definedName name="rende">#REF!</definedName>
    <definedName name="Reside">#REF!</definedName>
    <definedName name="rf">'[18]A2 for above 3rd floor'!$G$49</definedName>
    <definedName name="RFT">'[4]05 Ar &amp; St'!#REF!</definedName>
    <definedName name="rhsprofile">#REF!</definedName>
    <definedName name="roofing_range">[10]Roofing!$A$1:$F$65536</definedName>
    <definedName name="Roofing_total">#REF!</definedName>
    <definedName name="s">#REF!</definedName>
    <definedName name="SALI_REMOTE">#REF!</definedName>
    <definedName name="sat_tv_fm">#REF!</definedName>
    <definedName name="sat_tv_fm_l">#REF!</definedName>
    <definedName name="sat_tv_fm_t">#REF!</definedName>
    <definedName name="sbgslbg">#REF!</definedName>
    <definedName name="SbØ12">'[23]SUB ST'!$L$593</definedName>
    <definedName name="SbØ14">'[23]SUB ST'!$M$593</definedName>
    <definedName name="SbØ16">'[23]SUB ST'!$N$593</definedName>
    <definedName name="SbØ20">'[23]SUB ST'!$O$593</definedName>
    <definedName name="SbØ24">'[23]SUB ST'!$P$593</definedName>
    <definedName name="SBQTY">#REF!</definedName>
    <definedName name="Sched_Pay">#REF!</definedName>
    <definedName name="Scheduled_Extra_Payments">#REF!</definedName>
    <definedName name="Scheduled_Interest_Rate">#REF!</definedName>
    <definedName name="Scheduled_Monthly_Payment">#REF!</definedName>
    <definedName name="screed">#REF!</definedName>
    <definedName name="sene">#REF!</definedName>
    <definedName name="SERVICE">#REF!</definedName>
    <definedName name="sfa">'[24]05 A-2 300kp Shop Sup St.'!$A$1:$F$65536</definedName>
    <definedName name="sfgasg">#REF!</definedName>
    <definedName name="sFlr">'[25]05 RB A-2 300kp Shop Sub St.'!$G$1:$G$65536</definedName>
    <definedName name="singleswitch">#REF!</definedName>
    <definedName name="singleswitchwp">#REF!</definedName>
    <definedName name="sinto">#REF!</definedName>
    <definedName name="sMbr">'[25]05 RB A-2 300kp Shop Sub St.'!$H$1:$H$65536</definedName>
    <definedName name="socket10a1p">#REF!</definedName>
    <definedName name="socket16a1p">#REF!</definedName>
    <definedName name="SOCKET16A3P">#REF!</definedName>
    <definedName name="socket16a3x4">#REF!</definedName>
    <definedName name="SOCKET20A1P">#REF!</definedName>
    <definedName name="socketoutlet_schucko">#REF!</definedName>
    <definedName name="socketwithswitch16a1p">#REF!</definedName>
    <definedName name="socketwp10a1p">#REF!</definedName>
    <definedName name="spblk">'[18]A2 for above 3rd floor'!$G$41</definedName>
    <definedName name="spco">'[18]A2 for above 3rd floor'!$G$31</definedName>
    <definedName name="SPECIFICATION">#REF!</definedName>
    <definedName name="SpØ10">'[23]SUPER ST'!$L$2388</definedName>
    <definedName name="SpØ12">'[23]SUPER ST'!$M$2388</definedName>
    <definedName name="SpØ14">'[23]SUPER ST'!$N$2388</definedName>
    <definedName name="SpØ16">'[13]Super-Structure Rein'!$P$227</definedName>
    <definedName name="SpØ20">'[13]Super-Structure Rein'!$Q$227</definedName>
    <definedName name="SpØ24">'[13]Super-Structure Rein'!$R$227</definedName>
    <definedName name="SpØ6">'[23]SUPER ST'!$J$2388</definedName>
    <definedName name="SpØ8">'[23]SUPER ST'!$K$2388</definedName>
    <definedName name="SprQTY">#REF!</definedName>
    <definedName name="srgas">#REF!</definedName>
    <definedName name="ss">'[4]05 RB A-2 300kp Res. Sub St.'!#REF!</definedName>
    <definedName name="ss.">#REF!</definedName>
    <definedName name="sshgyighjkuhv">#REF!</definedName>
    <definedName name="ssss">#REF!</definedName>
    <definedName name="ssssss">'[4]05 Ar &amp; St'!#REF!</definedName>
    <definedName name="ssssssssssssssssssssssssssssssssssssssssssssss">#REF!</definedName>
    <definedName name="staf">#REF!</definedName>
    <definedName name="staircasetimerswitch">#REF!</definedName>
    <definedName name="steelmast20">#REF!</definedName>
    <definedName name="steelpole12">#REF!</definedName>
    <definedName name="steelpole3">#REF!</definedName>
    <definedName name="steelpole6">#REF!</definedName>
    <definedName name="steelpole9">#REF!</definedName>
    <definedName name="Stirupp_Info">#REF!</definedName>
    <definedName name="Stl_Truss">'[13]T-OFF'!$A$1:$F$65536</definedName>
    <definedName name="Str_Steel_Work">'[4]05 Ar &amp; St'!#REF!</definedName>
    <definedName name="stralstl">'[18]A2 for above 3rd floor'!$G$103</definedName>
    <definedName name="Structural_steel_work">#REF!</definedName>
    <definedName name="Structural_steel_work_total">'[8] Ar &amp; St'!$M$77</definedName>
    <definedName name="strutural_steel_total">'[26]08 Ar &amp; St'!$M$23</definedName>
    <definedName name="sub">#REF!</definedName>
    <definedName name="Sub_Concrete">#REF!</definedName>
    <definedName name="Sub_Concrete_Work">'[4]05 Sub Structure BC = 300'!$M$57</definedName>
    <definedName name="Sub_Structure">'[4]05 Summary'!$E$21</definedName>
    <definedName name="subdia">'[27]RB E-1 300kp SHOP. Sub St.'!$D$1:$D$65536</definedName>
    <definedName name="sum">#REF!</definedName>
    <definedName name="Sum?">#REF!</definedName>
    <definedName name="super">'[4]05 A-2 300kp Sup St.'!$A$1:$F$65536</definedName>
    <definedName name="Super_concrete_range">'[10]E-1 300kp Res. Sup St.'!$A$1:$F$65536</definedName>
    <definedName name="Super_Concrete_Work">'[4]05 Ar &amp; St'!$M$40</definedName>
    <definedName name="super_qty_range">'[5]E-1 200kp  Sup St.'!$A$1:$F$65536</definedName>
    <definedName name="Super_Structure">'[4]05 Summary'!$E$37</definedName>
    <definedName name="supper">#REF!</definedName>
    <definedName name="surfacepanel12acb">#REF!</definedName>
    <definedName name="surfacepanel24acb">#REF!</definedName>
    <definedName name="surfacepanel36acb">#REF!</definedName>
    <definedName name="surfacepanel8acb">#REF!</definedName>
    <definedName name="surgearrester_40">#REF!</definedName>
    <definedName name="surgearrester_70">#REF!</definedName>
    <definedName name="surv">#REF!</definedName>
    <definedName name="SURVICE">#REF!</definedName>
    <definedName name="t">#REF!</definedName>
    <definedName name="tcs058136il">#REF!</definedName>
    <definedName name="tcs058136io">#REF!</definedName>
    <definedName name="tcs058136ip">#REF!</definedName>
    <definedName name="tcs058236dl">#REF!</definedName>
    <definedName name="tcs058236do">#REF!</definedName>
    <definedName name="tcs058236dp">#REF!</definedName>
    <definedName name="TECHN">#N/A</definedName>
    <definedName name="tel">#REF!</definedName>
    <definedName name="telephonepoint">#REF!</definedName>
    <definedName name="Test">'[4]05 Summary'!$E$14</definedName>
    <definedName name="testclamp25x3">#REF!</definedName>
    <definedName name="testclamp5070">#REF!</definedName>
    <definedName name="Three_H_A_2">'[28]Solomon Weldu A2,E1-FevV'!#REF!</definedName>
    <definedName name="timerswitch">#REF!</definedName>
    <definedName name="tms136gdl140">#REF!</definedName>
    <definedName name="tms136gkd140">#REF!</definedName>
    <definedName name="tms236gkh240">#REF!</definedName>
    <definedName name="TodateQTYspr">'[4]05 Ar &amp; St'!$J$1:$J$65536</definedName>
    <definedName name="Total">'[13]Sub-Structure Rein'!$J$1:$J$65536</definedName>
    <definedName name="Total_block_work">#REF!</definedName>
    <definedName name="Total_Interest">#REF!</definedName>
    <definedName name="Total_Pay">#REF!</definedName>
    <definedName name="Total_Structural_Steel_Work">'[29]06 to 08 Ar &amp; St'!$M$69</definedName>
    <definedName name="Total_summary">#REF!</definedName>
    <definedName name="total1">'[2]RHS and Lattice purline A-2'!$J$1:$J$65536</definedName>
    <definedName name="total2">'[3] L -1  sub R-bar for 200Kpa '!$J$1:$J$65536</definedName>
    <definedName name="TotalBridges10">'[30]Bills of Quantities'!#REF!</definedName>
    <definedName name="TotalBridges11">'[30]Bills of Quantities'!#REF!</definedName>
    <definedName name="TotalBridges12">'[30]Bills of Quantities'!#REF!</definedName>
    <definedName name="TotalBridges13">'[30]Bills of Quantities'!#REF!</definedName>
    <definedName name="TotalBridges14">'[30]Bills of Quantities'!#REF!</definedName>
    <definedName name="TotalBridges15">'[30]Bills of Quantities'!#REF!</definedName>
    <definedName name="TotalBridges16">'[30]Bills of Quantities'!#REF!</definedName>
    <definedName name="TotalBridges2">'[30]Bills of Quantities'!$O$126</definedName>
    <definedName name="TotalBridges3">'[30]Bills of Quantities'!#REF!</definedName>
    <definedName name="TotalBridges4">'[30]Bills of Quantities'!#REF!</definedName>
    <definedName name="TotalBridges5">'[30]Bills of Quantities'!#REF!</definedName>
    <definedName name="TotalBridges6">'[30]Bills of Quantities'!#REF!</definedName>
    <definedName name="TotalBridges7">'[30]Bills of Quantities'!#REF!</definedName>
    <definedName name="TotalBridges8">'[30]Bills of Quantities'!#REF!</definedName>
    <definedName name="TotalBridges9">'[30]Bills of Quantities'!#REF!</definedName>
    <definedName name="TotalDayworks2">#REF!</definedName>
    <definedName name="TotalEarthworks10">'[30]Bills of Quantities'!#REF!</definedName>
    <definedName name="TotalEarthworks11">'[30]Bills of Quantities'!#REF!</definedName>
    <definedName name="TotalEarthworks12">'[30]Bills of Quantities'!#REF!</definedName>
    <definedName name="TotalEarthworks13">'[30]Bills of Quantities'!#REF!</definedName>
    <definedName name="TotalEarthworks14">'[30]Bills of Quantities'!#REF!</definedName>
    <definedName name="TotalEarthworks15">'[30]Bills of Quantities'!#REF!</definedName>
    <definedName name="TotalEarthworks16">'[30]Bills of Quantities'!#REF!</definedName>
    <definedName name="TotalEarthworks2">'[30]Bills of Quantities'!$O$17</definedName>
    <definedName name="TotalEarthworks3">'[30]Bills of Quantities'!#REF!</definedName>
    <definedName name="TotalEarthworks4">'[30]Bills of Quantities'!#REF!</definedName>
    <definedName name="TotalEarthworks5">'[30]Bills of Quantities'!#REF!</definedName>
    <definedName name="TotalEarthworks6">'[30]Bills of Quantities'!#REF!</definedName>
    <definedName name="TotalEarthworks7">'[30]Bills of Quantities'!#REF!</definedName>
    <definedName name="TotalEarthworks8">'[30]Bills of Quantities'!#REF!</definedName>
    <definedName name="TotalEarthworks9">'[30]Bills of Quantities'!#REF!</definedName>
    <definedName name="TotalIncidentals10">'[30]Bills of Quantities'!#REF!</definedName>
    <definedName name="TotalIncidentals11">'[30]Bills of Quantities'!#REF!</definedName>
    <definedName name="TotalIncidentals12">'[30]Bills of Quantities'!#REF!</definedName>
    <definedName name="TotalIncidentals13">'[30]Bills of Quantities'!#REF!</definedName>
    <definedName name="TotalIncidentals14">'[30]Bills of Quantities'!#REF!</definedName>
    <definedName name="TotalIncidentals15">'[30]Bills of Quantities'!#REF!</definedName>
    <definedName name="TotalIncidentals16">'[30]Bills of Quantities'!#REF!</definedName>
    <definedName name="TotalIncidentals2">'[30]Bills of Quantities'!$O$151</definedName>
    <definedName name="TotalIncidentals3">'[30]Bills of Quantities'!#REF!</definedName>
    <definedName name="TotalIncidentals4">'[30]Bills of Quantities'!#REF!</definedName>
    <definedName name="TotalIncidentals5">'[30]Bills of Quantities'!#REF!</definedName>
    <definedName name="TotalIncidentals6">'[30]Bills of Quantities'!#REF!</definedName>
    <definedName name="TotalIncidentals7">'[30]Bills of Quantities'!#REF!</definedName>
    <definedName name="TotalIncidentals8">'[30]Bills of Quantities'!#REF!</definedName>
    <definedName name="TotalIncidentals9">'[30]Bills of Quantities'!#REF!</definedName>
    <definedName name="TotalMisc10">'[30]Bills of Quantities'!#REF!</definedName>
    <definedName name="TotalMisc11">'[30]Bills of Quantities'!#REF!</definedName>
    <definedName name="TotalMisc12">'[30]Bills of Quantities'!#REF!</definedName>
    <definedName name="TotalMisc13">'[30]Bills of Quantities'!#REF!</definedName>
    <definedName name="TotalMisc14">'[30]Bills of Quantities'!#REF!</definedName>
    <definedName name="TotalMisc15">'[30]Bills of Quantities'!#REF!</definedName>
    <definedName name="TotalMisc16">'[30]Bills of Quantities'!#REF!</definedName>
    <definedName name="TotalMisc2">'[30]Bills of Quantities'!$O$201</definedName>
    <definedName name="TotalMisc3">'[30]Bills of Quantities'!#REF!</definedName>
    <definedName name="TotalMisc4">'[30]Bills of Quantities'!#REF!</definedName>
    <definedName name="TotalMisc5">'[30]Bills of Quantities'!#REF!</definedName>
    <definedName name="TotalMisc6">'[30]Bills of Quantities'!#REF!</definedName>
    <definedName name="TotalMisc7">'[30]Bills of Quantities'!#REF!</definedName>
    <definedName name="TotalMisc8">'[30]Bills of Quantities'!#REF!</definedName>
    <definedName name="TotalMisc9">'[30]Bills of Quantities'!#REF!</definedName>
    <definedName name="TotalPavements10">'[30]Bills of Quantities'!#REF!</definedName>
    <definedName name="TotalPavements11">'[30]Bills of Quantities'!#REF!</definedName>
    <definedName name="TotalPavements12">'[30]Bills of Quantities'!#REF!</definedName>
    <definedName name="TotalPavements13">'[30]Bills of Quantities'!#REF!</definedName>
    <definedName name="TotalPavements14">'[30]Bills of Quantities'!#REF!</definedName>
    <definedName name="TotalPavements15">'[30]Bills of Quantities'!#REF!</definedName>
    <definedName name="TotalPavements16">'[30]Bills of Quantities'!#REF!</definedName>
    <definedName name="TotalPavements2">'[30]Bills of Quantities'!$O$30</definedName>
    <definedName name="TotalPavements3">'[30]Bills of Quantities'!#REF!</definedName>
    <definedName name="TotalPavements4">'[30]Bills of Quantities'!#REF!</definedName>
    <definedName name="TotalPavements5">'[30]Bills of Quantities'!#REF!</definedName>
    <definedName name="TotalPavements6">'[30]Bills of Quantities'!#REF!</definedName>
    <definedName name="TotalPavements7">'[30]Bills of Quantities'!#REF!</definedName>
    <definedName name="TotalPavements8">'[30]Bills of Quantities'!#REF!</definedName>
    <definedName name="TotalPavements9">'[30]Bills of Quantities'!#REF!</definedName>
    <definedName name="TotalStructures10">'[30]Bills of Quantities'!#REF!</definedName>
    <definedName name="TotalStructures11">'[30]Bills of Quantities'!#REF!</definedName>
    <definedName name="TotalStructures12">'[30]Bills of Quantities'!#REF!</definedName>
    <definedName name="TotalStructures13">'[30]Bills of Quantities'!#REF!</definedName>
    <definedName name="TotalStructures14">'[30]Bills of Quantities'!#REF!</definedName>
    <definedName name="TotalStructures15">'[30]Bills of Quantities'!#REF!</definedName>
    <definedName name="TotalStructures16">'[30]Bills of Quantities'!#REF!</definedName>
    <definedName name="TotalStructures2">'[30]Bills of Quantities'!$O$89</definedName>
    <definedName name="TotalStructures3">'[30]Bills of Quantities'!#REF!</definedName>
    <definedName name="TotalStructures4">'[30]Bills of Quantities'!#REF!</definedName>
    <definedName name="TotalStructures5">'[30]Bills of Quantities'!#REF!</definedName>
    <definedName name="TotalStructures6">'[30]Bills of Quantities'!#REF!</definedName>
    <definedName name="TotalStructures7">'[30]Bills of Quantities'!#REF!</definedName>
    <definedName name="TotalStructures8">'[30]Bills of Quantities'!#REF!</definedName>
    <definedName name="TotalStructures9">'[30]Bills of Quantities'!#REF!</definedName>
    <definedName name="TR">#N/A</definedName>
    <definedName name="TTL">'[9]Supr Rebar'!$J:$J</definedName>
    <definedName name="tv">#REF!</definedName>
    <definedName name="tvaerial10element">#REF!</definedName>
    <definedName name="tvoutletloopthrough">#REF!</definedName>
    <definedName name="tvoutletterminal">#REF!</definedName>
    <definedName name="tvpoint">#REF!</definedName>
    <definedName name="Twenty_Five_H_A_2">'[28]Solomon Weldu A2,E1-FevV'!#REF!</definedName>
    <definedName name="Two_H">#REF!</definedName>
    <definedName name="Two_H_A_2">'[28]Solomon Weldu A2,E1-FevV'!#REF!</definedName>
    <definedName name="twowayswitch">#REF!</definedName>
    <definedName name="u">#REF!</definedName>
    <definedName name="untprice">#REF!</definedName>
    <definedName name="uuu">'[17]Block A Rebar'!$H$8:$H$66375</definedName>
    <definedName name="Values_Entered">IF(Loan_Amount*Interest_Rate*Loan_Years*Loan_Start&gt;0,1,0)</definedName>
    <definedName name="vcvcvzcb">#REF!</definedName>
    <definedName name="vDateTime">#REF!</definedName>
    <definedName name="vDiastolic">#REF!</definedName>
    <definedName name="vfghdhhdh">#REF!</definedName>
    <definedName name="vHeartRate">#REF!</definedName>
    <definedName name="vibrationdetector">#REF!</definedName>
    <definedName name="vSystolic">#REF!</definedName>
    <definedName name="vvvvvvvv">#REF!</definedName>
    <definedName name="wallglobe">#REF!</definedName>
    <definedName name="wer">#REF!</definedName>
    <definedName name="Window_Door">'[13]Windows and Doors'!$A$23:$Y$40</definedName>
    <definedName name="Windows">'[13]Windows and Doors'!$A$12:$Y$21</definedName>
    <definedName name="WORK">[31]wa!$C$16:$I$17</definedName>
    <definedName name="WORK1">[31]wa!$C$16:$I$17</definedName>
    <definedName name="xbxbbxbx">#REF!</definedName>
    <definedName name="xCCc">#REF!</definedName>
    <definedName name="xczczc">'[32]Windows and Doors'!$A$5:$Y$10</definedName>
    <definedName name="xxx">#REF!</definedName>
    <definedName name="xxxxbx">#REF!</definedName>
    <definedName name="yyyyyy">#REF!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85" i="20" l="1"/>
  <c r="F186" i="20"/>
  <c r="F187" i="20"/>
  <c r="F188" i="20"/>
  <c r="F189" i="20"/>
  <c r="F190" i="20"/>
  <c r="F192" i="20"/>
  <c r="F193" i="20"/>
  <c r="F194" i="20"/>
  <c r="F195" i="20"/>
  <c r="F196" i="20"/>
  <c r="F197" i="20"/>
  <c r="F199" i="20"/>
  <c r="F200" i="20"/>
  <c r="F201" i="20"/>
  <c r="F202" i="20"/>
  <c r="F203" i="20"/>
  <c r="F204" i="20"/>
  <c r="F205" i="20"/>
  <c r="F10" i="43"/>
  <c r="F9" i="43"/>
  <c r="F8" i="43"/>
  <c r="F7" i="43"/>
  <c r="F6" i="43"/>
  <c r="F5" i="43"/>
  <c r="F132" i="20"/>
  <c r="D207" i="20"/>
  <c r="F207" i="20" s="1"/>
  <c r="F211" i="20"/>
  <c r="F210" i="20"/>
  <c r="F209" i="20"/>
  <c r="F208" i="20"/>
  <c r="F206" i="20"/>
  <c r="F11" i="43" l="1"/>
  <c r="F178" i="20"/>
  <c r="F177" i="20"/>
  <c r="F180" i="20"/>
  <c r="F43" i="20" l="1"/>
  <c r="F44" i="20"/>
  <c r="F45" i="20"/>
  <c r="F46" i="20"/>
  <c r="F47" i="20"/>
  <c r="F48" i="20"/>
  <c r="F49" i="20"/>
  <c r="F50" i="20"/>
  <c r="F52" i="20"/>
  <c r="F55" i="20"/>
  <c r="F56" i="20"/>
  <c r="F57" i="20"/>
  <c r="F58" i="20"/>
  <c r="D111" i="20"/>
  <c r="F111" i="20" s="1"/>
  <c r="D113" i="20"/>
  <c r="F113" i="20" s="1"/>
  <c r="D112" i="20"/>
  <c r="F112" i="20" s="1"/>
  <c r="F107" i="20"/>
  <c r="F106" i="20"/>
  <c r="F105" i="20"/>
  <c r="F104" i="20"/>
  <c r="F103" i="20"/>
  <c r="F102" i="20"/>
  <c r="F101" i="20"/>
  <c r="F100" i="20"/>
  <c r="F99" i="20"/>
  <c r="F98" i="20"/>
  <c r="F97" i="20"/>
  <c r="F96" i="20"/>
  <c r="F95" i="20"/>
  <c r="F94" i="20"/>
  <c r="F93" i="20"/>
  <c r="F92" i="20"/>
  <c r="F91" i="20"/>
  <c r="F90" i="20"/>
  <c r="F89" i="20"/>
  <c r="F88" i="20"/>
  <c r="F87" i="20"/>
  <c r="F86" i="20"/>
  <c r="D67" i="20"/>
  <c r="F67" i="20" s="1"/>
  <c r="D65" i="20"/>
  <c r="F65" i="20" s="1"/>
  <c r="D84" i="20"/>
  <c r="F84" i="20" s="1"/>
  <c r="D83" i="20"/>
  <c r="F83" i="20" s="1"/>
  <c r="D82" i="20"/>
  <c r="F82" i="20" s="1"/>
  <c r="D81" i="20"/>
  <c r="F81" i="20" s="1"/>
  <c r="D80" i="20"/>
  <c r="F80" i="20" s="1"/>
  <c r="D79" i="20"/>
  <c r="F79" i="20" s="1"/>
  <c r="D78" i="20"/>
  <c r="F78" i="20" s="1"/>
  <c r="D77" i="20"/>
  <c r="F77" i="20" s="1"/>
  <c r="D76" i="20"/>
  <c r="F76" i="20" s="1"/>
  <c r="D75" i="20"/>
  <c r="F75" i="20" s="1"/>
  <c r="D73" i="20"/>
  <c r="F73" i="20" s="1"/>
  <c r="D74" i="20"/>
  <c r="F74" i="20" s="1"/>
  <c r="D70" i="20"/>
  <c r="F70" i="20" s="1"/>
  <c r="D72" i="20"/>
  <c r="F72" i="20" s="1"/>
  <c r="D71" i="20"/>
  <c r="F71" i="20" s="1"/>
  <c r="D69" i="20"/>
  <c r="F69" i="20" s="1"/>
  <c r="D68" i="20"/>
  <c r="F68" i="20" s="1"/>
  <c r="D66" i="20"/>
  <c r="F66" i="20" s="1"/>
  <c r="D64" i="20"/>
  <c r="F64" i="20" s="1"/>
  <c r="D63" i="20"/>
  <c r="F63" i="20" s="1"/>
  <c r="F62" i="20"/>
  <c r="F31" i="20"/>
  <c r="F29" i="20"/>
  <c r="F28" i="20"/>
  <c r="F30" i="20"/>
  <c r="F27" i="20"/>
  <c r="F23" i="20"/>
  <c r="F19" i="20"/>
  <c r="F26" i="20"/>
  <c r="F21" i="20"/>
  <c r="F20" i="20"/>
  <c r="F18" i="20"/>
  <c r="F17" i="20"/>
  <c r="F24" i="20"/>
  <c r="F22" i="20"/>
  <c r="F25" i="20"/>
  <c r="F16" i="20"/>
  <c r="F15" i="20"/>
  <c r="F109" i="20"/>
  <c r="F14" i="20"/>
  <c r="F54" i="20"/>
  <c r="F53" i="20"/>
  <c r="F51" i="20"/>
  <c r="F42" i="20"/>
  <c r="F35" i="20"/>
  <c r="F36" i="20"/>
  <c r="F32" i="20"/>
  <c r="F34" i="20"/>
  <c r="F13" i="20"/>
  <c r="F172" i="20"/>
  <c r="F171" i="20"/>
  <c r="F170" i="20"/>
  <c r="F169" i="20"/>
  <c r="F168" i="20"/>
  <c r="F167" i="20"/>
  <c r="F166" i="20"/>
  <c r="F165" i="20"/>
  <c r="F164" i="20"/>
  <c r="F163" i="20"/>
  <c r="F162" i="20"/>
  <c r="F161" i="20"/>
  <c r="F160" i="20"/>
  <c r="F159" i="20"/>
  <c r="F158" i="20"/>
  <c r="F157" i="20"/>
  <c r="F156" i="20"/>
  <c r="F155" i="20"/>
  <c r="F179" i="20"/>
  <c r="F181" i="20" s="1"/>
  <c r="F143" i="20"/>
  <c r="F152" i="20"/>
  <c r="F151" i="20"/>
  <c r="F150" i="20"/>
  <c r="F149" i="20"/>
  <c r="F148" i="20"/>
  <c r="F147" i="20"/>
  <c r="F146" i="20"/>
  <c r="F145" i="20"/>
  <c r="F144" i="20"/>
  <c r="F142" i="20"/>
  <c r="F141" i="20"/>
  <c r="F140" i="20"/>
  <c r="F139" i="20"/>
  <c r="F138" i="20"/>
  <c r="F137" i="20"/>
  <c r="F136" i="20"/>
  <c r="F135" i="20"/>
  <c r="F173" i="20" l="1"/>
  <c r="F59" i="20"/>
  <c r="C8" i="21" s="1"/>
  <c r="F114" i="20"/>
  <c r="C9" i="21" s="1"/>
  <c r="F37" i="20"/>
  <c r="C7" i="21" s="1"/>
  <c r="F118" i="20"/>
  <c r="F117" i="20"/>
  <c r="F119" i="20" l="1"/>
  <c r="C10" i="21" s="1"/>
  <c r="C11" i="21" l="1"/>
  <c r="C12" i="21" l="1"/>
  <c r="F6" i="20" l="1"/>
  <c r="F7" i="20" s="1"/>
  <c r="C6" i="21" s="1"/>
  <c r="F212" i="20" l="1"/>
  <c r="C13" i="21" s="1"/>
  <c r="C63" i="29"/>
  <c r="D63" i="29"/>
  <c r="H63" i="29"/>
  <c r="F58" i="29"/>
  <c r="G58" i="29"/>
  <c r="B58" i="29"/>
  <c r="G62" i="29"/>
  <c r="F62" i="29"/>
  <c r="B62" i="29"/>
  <c r="G61" i="29"/>
  <c r="B61" i="29"/>
  <c r="F61" i="29"/>
  <c r="G60" i="29"/>
  <c r="F60" i="29"/>
  <c r="B60" i="29"/>
  <c r="G59" i="29"/>
  <c r="B59" i="29"/>
  <c r="F57" i="29"/>
  <c r="G57" i="29"/>
  <c r="B57" i="29"/>
  <c r="F56" i="29"/>
  <c r="G56" i="29"/>
  <c r="B56" i="29"/>
  <c r="F55" i="29"/>
  <c r="G55" i="29"/>
  <c r="B55" i="29"/>
  <c r="F54" i="29"/>
  <c r="G54" i="29"/>
  <c r="B54" i="29"/>
  <c r="B53" i="29"/>
  <c r="B52" i="29"/>
  <c r="F53" i="29"/>
  <c r="G53" i="29"/>
  <c r="G52" i="29"/>
  <c r="B51" i="29"/>
  <c r="G51" i="29"/>
  <c r="G49" i="29"/>
  <c r="F49" i="29"/>
  <c r="B49" i="29"/>
  <c r="G48" i="29"/>
  <c r="F48" i="29"/>
  <c r="B48" i="29"/>
  <c r="G47" i="29"/>
  <c r="F47" i="29"/>
  <c r="B47" i="29"/>
  <c r="G46" i="29"/>
  <c r="F46" i="29"/>
  <c r="E46" i="29"/>
  <c r="B46" i="29"/>
  <c r="G45" i="29"/>
  <c r="F45" i="29"/>
  <c r="B45" i="29"/>
  <c r="G44" i="29"/>
  <c r="F44" i="29"/>
  <c r="B44" i="29"/>
  <c r="G43" i="29"/>
  <c r="F43" i="29"/>
  <c r="B43" i="29"/>
  <c r="F42" i="29"/>
  <c r="E42" i="29"/>
  <c r="B42" i="29"/>
  <c r="G41" i="29"/>
  <c r="F41" i="29"/>
  <c r="B41" i="29"/>
  <c r="G40" i="29"/>
  <c r="F40" i="29"/>
  <c r="B40" i="29"/>
  <c r="G39" i="29"/>
  <c r="F39" i="29"/>
  <c r="B39" i="29"/>
  <c r="G38" i="29"/>
  <c r="F38" i="29"/>
  <c r="B38" i="29"/>
  <c r="G37" i="29"/>
  <c r="F37" i="29"/>
  <c r="B37" i="29"/>
  <c r="G36" i="29"/>
  <c r="B36" i="29"/>
  <c r="G35" i="29"/>
  <c r="F35" i="29"/>
  <c r="B35" i="29"/>
  <c r="G34" i="29"/>
  <c r="B34" i="29"/>
  <c r="G33" i="29"/>
  <c r="F33" i="29"/>
  <c r="B33" i="29"/>
  <c r="G32" i="29"/>
  <c r="F32" i="29"/>
  <c r="B32" i="29"/>
  <c r="G30" i="29"/>
  <c r="F30" i="29"/>
  <c r="B30" i="29"/>
  <c r="G29" i="29"/>
  <c r="F29" i="29"/>
  <c r="B29" i="29"/>
  <c r="G28" i="29"/>
  <c r="F28" i="29"/>
  <c r="B28" i="29"/>
  <c r="G27" i="29"/>
  <c r="B27" i="29"/>
  <c r="G26" i="29"/>
  <c r="F26" i="29"/>
  <c r="B26" i="29"/>
  <c r="G25" i="29"/>
  <c r="F25" i="29"/>
  <c r="B25" i="29"/>
  <c r="G24" i="29"/>
  <c r="F24" i="29"/>
  <c r="B24" i="29"/>
  <c r="G23" i="29"/>
  <c r="F23" i="29"/>
  <c r="B23" i="29"/>
  <c r="G22" i="29"/>
  <c r="F22" i="29"/>
  <c r="B22" i="29"/>
  <c r="G21" i="29"/>
  <c r="F21" i="29"/>
  <c r="B21" i="29"/>
  <c r="G20" i="29"/>
  <c r="G63" i="29" s="1"/>
  <c r="F20" i="29"/>
  <c r="B20" i="29"/>
  <c r="F19" i="29"/>
  <c r="E19" i="29"/>
  <c r="B19" i="29"/>
  <c r="G18" i="29"/>
  <c r="F18" i="29"/>
  <c r="B18" i="29"/>
  <c r="F17" i="29"/>
  <c r="E17" i="29"/>
  <c r="B17" i="29"/>
  <c r="G16" i="29"/>
  <c r="F16" i="29"/>
  <c r="B16" i="29"/>
  <c r="E15" i="29"/>
  <c r="B15" i="29"/>
  <c r="F14" i="29"/>
  <c r="E14" i="29"/>
  <c r="B14" i="29"/>
  <c r="G13" i="29"/>
  <c r="F13" i="29"/>
  <c r="B13" i="29"/>
  <c r="E12" i="29"/>
  <c r="B12" i="29"/>
  <c r="E11" i="29"/>
  <c r="B11" i="29"/>
  <c r="E10" i="29"/>
  <c r="B10" i="29"/>
  <c r="E9" i="29"/>
  <c r="B9" i="29"/>
  <c r="E8" i="29"/>
  <c r="B8" i="29"/>
  <c r="E7" i="29"/>
  <c r="B7" i="29"/>
  <c r="E6" i="29"/>
  <c r="B6" i="29"/>
  <c r="E5" i="29"/>
  <c r="B5" i="29"/>
  <c r="E4" i="29"/>
  <c r="B4" i="29"/>
  <c r="E3" i="29"/>
  <c r="B3" i="29"/>
  <c r="E2" i="29"/>
  <c r="B2" i="29"/>
  <c r="F63" i="29" l="1"/>
  <c r="E63" i="29"/>
  <c r="B63" i="29"/>
  <c r="C15" i="21" l="1"/>
  <c r="C16" i="21" s="1"/>
  <c r="C18" i="21" s="1"/>
</calcChain>
</file>

<file path=xl/sharedStrings.xml><?xml version="1.0" encoding="utf-8"?>
<sst xmlns="http://schemas.openxmlformats.org/spreadsheetml/2006/main" count="707" uniqueCount="388">
  <si>
    <t>ITEM</t>
  </si>
  <si>
    <t>DESCRIPTION</t>
  </si>
  <si>
    <t>UNIT</t>
  </si>
  <si>
    <t>QUANTITY</t>
  </si>
  <si>
    <t>RATE</t>
  </si>
  <si>
    <t>m²</t>
  </si>
  <si>
    <t>SUMMARY OF PRICES</t>
  </si>
  <si>
    <t>Birr</t>
  </si>
  <si>
    <t>02</t>
  </si>
  <si>
    <t>03</t>
  </si>
  <si>
    <t>04</t>
  </si>
  <si>
    <t>05</t>
  </si>
  <si>
    <t>METAL WORK</t>
  </si>
  <si>
    <t>No</t>
  </si>
  <si>
    <t>SUB TOTAL METAL WORK ETH BIRR</t>
  </si>
  <si>
    <t>SUB TOTAL FINISHING WORK ETH BIRR</t>
  </si>
  <si>
    <t>PAINTING</t>
  </si>
  <si>
    <t>SUB TOTAL PAINTING WORK ETH BIRR</t>
  </si>
  <si>
    <t>Bm 3</t>
  </si>
  <si>
    <t>BM 2</t>
  </si>
  <si>
    <t>Bm A</t>
  </si>
  <si>
    <t>BM B</t>
  </si>
  <si>
    <t>BM C</t>
  </si>
  <si>
    <t>BM D</t>
  </si>
  <si>
    <t>MB H</t>
  </si>
  <si>
    <t>BM F</t>
  </si>
  <si>
    <t>BM E</t>
  </si>
  <si>
    <t>BM G</t>
  </si>
  <si>
    <t>BM 1</t>
  </si>
  <si>
    <t>BM 4</t>
  </si>
  <si>
    <t>BM 3</t>
  </si>
  <si>
    <t>BM H</t>
  </si>
  <si>
    <t>BM 1 Arc</t>
  </si>
  <si>
    <t>BM 4 arc</t>
  </si>
  <si>
    <t>BM I'</t>
  </si>
  <si>
    <t>at elev 3, 8, 12</t>
  </si>
  <si>
    <t>BM E&amp;F</t>
  </si>
  <si>
    <t>BM A</t>
  </si>
  <si>
    <t>BM 1&amp;2 Arc</t>
  </si>
  <si>
    <t>TYP</t>
  </si>
  <si>
    <t>BM F&amp;G</t>
  </si>
  <si>
    <t>BM C&amp;I'</t>
  </si>
  <si>
    <t>Total</t>
  </si>
  <si>
    <t>CARPENTRY &amp; JOINERY</t>
  </si>
  <si>
    <t>SUB TOTAL CARPENTRY AND JOINERY WORK ETH BIRR</t>
  </si>
  <si>
    <t>SERVICE SUM</t>
  </si>
  <si>
    <t>Carpentry and Ceiling Works</t>
  </si>
  <si>
    <t>15% VAT</t>
  </si>
  <si>
    <t>GRAND TOTAL</t>
  </si>
  <si>
    <t>01</t>
  </si>
  <si>
    <t>5.1</t>
  </si>
  <si>
    <t>5.1.1</t>
  </si>
  <si>
    <t xml:space="preserve"> ELECTRICAL INSTALLATION</t>
  </si>
  <si>
    <t>DOCTORS WITH AFRICA- CUAMM</t>
  </si>
  <si>
    <t>1.1</t>
  </si>
  <si>
    <t>1.1.1</t>
  </si>
  <si>
    <t>2.1</t>
  </si>
  <si>
    <t>2.1.1</t>
  </si>
  <si>
    <t>06</t>
  </si>
  <si>
    <t>08</t>
  </si>
  <si>
    <t>8.1.1</t>
  </si>
  <si>
    <t>Flush Mounted Socket Outlet Points</t>
  </si>
  <si>
    <t xml:space="preserve">Flush Mounted Socket Outlets with Earth Contact </t>
  </si>
  <si>
    <t>SPECIFICATIONS AND BILL OF QUANTITIES WITH ENGINEERING ESTIMATE</t>
  </si>
  <si>
    <t>PROJECT:</t>
  </si>
  <si>
    <t>LOCATION:</t>
  </si>
  <si>
    <t xml:space="preserve">Prepared by:- Solomon Tesfay  </t>
  </si>
  <si>
    <t>OWNER:</t>
  </si>
  <si>
    <t>Preamble to the Bill of Quantities</t>
  </si>
  <si>
    <t>1.   The Bill of Quantities shall be read in conjunction with the Drawings and Technical Specifications.</t>
  </si>
  <si>
    <t>2.   The Bill of Quantities contains the following part Bills and Schedules:</t>
  </si>
  <si>
    <t>3. The Quantities given in the Bill of Quantities are estimated and provisional, and are given to provide a common basis for bidding. The estimated contract quantity of each item of works will be set at the time of contract signing. In addition to this the basis of payment will be the actual quantities of work ordered and carried out, as measured by the Contractor and verified by the Engineer and valued at the rates and prices bid in the priced Bill of Quantities, where applicable, and otherwise at such rates and prices as the Engineer may fix within the terms of the Contract.</t>
  </si>
  <si>
    <t>4.  The rates and prices bid in the priced Bill of Quantities shall, except insofar as it is otherwise provided under the Contract, include all Constructional Plant, Labor, supervision, materials, erection, maintenance, insurance, profit, taxes, and duties, together with all general risks, liabilities, and obligations set out or implied in the Contract.</t>
  </si>
  <si>
    <t>5. A rate or price shall be entered against each item in the priced Bill of Quantities, whether quantities are stated or not. The cost of Items against which the Contractor has failed to enter a rate or price shall be deemed to be covered by other rates and prices entered in the Bill of Quantities.</t>
  </si>
  <si>
    <t>6. The rates in this Bill of quantities shall consider all incidental works required to protect existing structures.</t>
  </si>
  <si>
    <t>7. Items associated with a priced item necessary for its satisfactory fixing shall be considered as included in the rate of the item.</t>
  </si>
  <si>
    <t>8. The rates given for Provisional Quantities (PQ) will be binding if the client decides to incorporate these works as additional works.</t>
  </si>
  <si>
    <t>9. The whole cost of complying with the provisions of the Contract shall be included in the Items provided in the priced Bill of Quantities, and where no Items are provided, the cost shall be deemed to be distributed among the rates and prices entered for the related Items of Work.</t>
  </si>
  <si>
    <t>10. The Overhead &amp; risk and the gross profit for variation orders will be 35% .</t>
  </si>
  <si>
    <t>11. General directions and descriptions of work and materials are not necessarily repeated nor summarized in the Bill of Quantities. References to the relevant sections of the contract documentation shall be made before entering prices against each item in the priced Bill of Quantities.</t>
  </si>
  <si>
    <t>12. The method of measurement of completed work for payment shall be in accordance with Standard Methods of Measurement ECPN-4.</t>
  </si>
  <si>
    <t>13. The Bill of Quantities contains items</t>
  </si>
  <si>
    <t>a.   Supplied and installed by the Prime contractor</t>
  </si>
  <si>
    <t>b.   Provisional Quantities Supplied and installed by the Prime contractor</t>
  </si>
  <si>
    <t>c.   Provisional Sum Items supplied by the Client  and installed by the Prime Contractor</t>
  </si>
  <si>
    <t>d.  Provisional Sum Items Supplied and installed by Nominated Sub-contractor</t>
  </si>
  <si>
    <t>14. Provisional Sums included and so designated in the Bill of Quantities shall be expended in whole or in part at the direction and discretion of the Engineer.</t>
  </si>
  <si>
    <r>
      <rPr>
        <sz val="12"/>
        <rFont val="Garamond"/>
        <family val="1"/>
      </rPr>
      <t>15. The duties and responsibilities of the Prime Contractor for items 13(b), 13(c) and 13 (d) above are deemed to be covered by the Contractor’s charge indicated in here. The duties and responsibilities of the Prime Contractor in addition to those indicated in the Bill of Quantities are:-</t>
    </r>
  </si>
  <si>
    <t>a.   Handle and store materials at site both for prime contractor, the Client and nominated sub-contractor works.</t>
  </si>
  <si>
    <t>b. Provide utilities like power, water and other necessary utilities for use by the Client and nominated sub-contractors.</t>
  </si>
  <si>
    <t>c. Provide within the site transport and lifting equipment for all loading and unloading purposes and all required transportation within the site as required by the Client and nominated sub-contractors.</t>
  </si>
  <si>
    <t>d.  Provide scaffolding, ladder, etc as needed</t>
  </si>
  <si>
    <t>e. Execute any incidental works, like concrete work, earthwork, finishing, patching, and chiseling as required by the Client and nominated sub- contractors.</t>
  </si>
  <si>
    <t>f.   Removal of debris and clean the site at completion</t>
  </si>
  <si>
    <t>16. Errors will be corrected by the Employer for any arithmetic errors in computation or summation as follows:</t>
  </si>
  <si>
    <t>(a) where there is discrepancy between amounts in figures and in words, the amount in words will govern</t>
  </si>
  <si>
    <t>(b) where there is a discrepancy between the unit rate and the total amount derived from the multiplication of the unit price and the quantity, the unit rate as quoted will govern.</t>
  </si>
  <si>
    <t>17. Rock is defined as all materials which, in the opinion of the Engineer, require blasting, or the use of metal wedges and sledgehammers, or the use of compressed air drilling for their removal, and which cannot be extracted by ripping with a tractor of at least 150 brake hp with a single, rear-mounted, heavy-duty ripper.</t>
  </si>
  <si>
    <t>18. A type of bonding agent used for bonding old concrete to newly fresh one should get approval before application and the cost in connection with the bonding old concrete to newly fresh one shall be born by the Contractor.</t>
  </si>
  <si>
    <t>19. All provision for sanitary pipe passage, Electrical and Sanitary ducts and provision of sleeves will have to be done during concrete works as per the Electrical and Sanitary drawings and they are deemed to be included in the other rates and prices entered in the Bill of Quantities.</t>
  </si>
  <si>
    <t>20. The Contractor is responsible for the detail assessment of the Site conditions and any measure to be taken is included in the rates.</t>
  </si>
  <si>
    <t>21. The removal of Surplus excavated material shall be to an appropriate place away from the construction site. The contractor shall also make arrangement to damp this surplus excavated material to the owner place by the Direction of the Resident Engineer.</t>
  </si>
  <si>
    <r>
      <t>22. The Contractor shall submit catalogues with full description for Items under all Divisions which include, but are not limited to: Finishing Materials, Electrical, Sanitary fittings &amp; Equipments and shall get approval by the Engineer before purchasing or ordering</t>
    </r>
    <r>
      <rPr>
        <sz val="12"/>
        <color rgb="FFFF0000"/>
        <rFont val="Garamond"/>
        <family val="1"/>
      </rPr>
      <t>.</t>
    </r>
  </si>
  <si>
    <t>23. All Electrical and Sanitary works /installation/ shall be done by experienced staff or specialized sub-contractor or personnel who have a minimum of eight years experience with similar works &amp; this has to be approved by the Engineer based on their CVs &amp; educational background and certification and recommendation and/or supervision by suppliers.</t>
  </si>
  <si>
    <t>24. All Electrical and Sanitary works shall be tested &amp; commissioned prior to filling chiseled cavities, installing ceilings, covering vertical &amp; horizontal ducts &amp; back filling trenches. The Contractor shall be fully responsible for all systems.</t>
  </si>
  <si>
    <t>25. The Prime contractor shall submit samples of all finishing materials installed by himself and by nominated sub-contractors for approval by the Engineer and the Employer.</t>
  </si>
  <si>
    <t>MECHANICAL INSTALLATION</t>
  </si>
  <si>
    <t>set</t>
  </si>
  <si>
    <t>LS</t>
  </si>
  <si>
    <t>SANITARY WORK</t>
  </si>
  <si>
    <t>pcs</t>
  </si>
  <si>
    <t xml:space="preserve">Supply and fix Turkish Type Water closet made of enameled sheet steel. The fixture shall conform to British Standard Specification. The waste fittings,  connecting pieces, fixing and supporting elements and Complete with all the necessary  accessories.  </t>
  </si>
  <si>
    <t>Supply, Install and Test all Electrical Systems: Power Distribution Boards with Circuit Breakers, Light Fittings with Lamps, Switches, Outlets and Others including required items and accessories. All items shall be Industry standard and approved equivalent types.</t>
  </si>
  <si>
    <r>
      <rPr>
        <sz val="11"/>
        <color theme="1"/>
        <rFont val="Calibri"/>
        <family val="2"/>
      </rPr>
      <t>16A/1P socket outlet points fed through PVC insulated conductors of 3x2.5mm</t>
    </r>
    <r>
      <rPr>
        <vertAlign val="superscript"/>
        <sz val="11"/>
        <color theme="1"/>
        <rFont val="Calibri"/>
        <family val="2"/>
      </rPr>
      <t>2</t>
    </r>
    <r>
      <rPr>
        <sz val="11"/>
        <color theme="1"/>
        <rFont val="Calibri"/>
        <family val="2"/>
      </rPr>
      <t xml:space="preserve"> inside PVC conduit of 16mm diameter including junction boxes with covers and insulating screw cap connectors.</t>
    </r>
  </si>
  <si>
    <t>SUB TOTAL FOR ELECTRICAL WORK ETH BIRR</t>
  </si>
  <si>
    <t>Triage</t>
  </si>
  <si>
    <t>SANITARY APPLIANCES INSTALLATION</t>
  </si>
  <si>
    <r>
      <rPr>
        <sz val="11"/>
        <color theme="1"/>
        <rFont val="Calibri"/>
        <family val="2"/>
      </rPr>
      <t>m</t>
    </r>
    <r>
      <rPr>
        <vertAlign val="superscript"/>
        <sz val="11"/>
        <color theme="1"/>
        <rFont val="Calibri"/>
        <family val="2"/>
      </rPr>
      <t>2</t>
    </r>
  </si>
  <si>
    <t>SUB TOTAL FOR SANITARY WORK ETH BIRR</t>
  </si>
  <si>
    <t>SUB TOTAL FOR MECHANICAL WORK ETH BIRR</t>
  </si>
  <si>
    <t>Supply and fix 9mm  thick high quality laminated PVC ceiling with all its accessories as per the Engineer's approval in parts of the verandah and in all rooms. The ceiling color and material type shall be approved by the engineer.</t>
  </si>
  <si>
    <t>BLACK LION NICU RENOVATION</t>
  </si>
  <si>
    <t>ADDIS ABABA, ETHIOPIA</t>
  </si>
  <si>
    <t>a.   Bill No. 1 – Black Lion NICU Renovation</t>
  </si>
  <si>
    <t>GLAZING</t>
  </si>
  <si>
    <t>Supply and fix 6 mm thick clear sheet glass to windows and doors. Price shall include putty and all the necessary fixing accessories.</t>
  </si>
  <si>
    <t>FLOOR FINISHINGS</t>
  </si>
  <si>
    <t>Epoxy Flooring</t>
  </si>
  <si>
    <r>
      <t xml:space="preserve">Epoxy flooring in hospitals should meet the following technical specifications: </t>
    </r>
    <r>
      <rPr>
        <b/>
        <sz val="11"/>
        <color theme="1"/>
        <rFont val="Calibri"/>
        <family val="2"/>
      </rPr>
      <t>Antimicrobial and stain resistant</t>
    </r>
    <r>
      <rPr>
        <sz val="11"/>
        <color theme="1"/>
        <rFont val="Calibri"/>
        <family val="2"/>
      </rPr>
      <t xml:space="preserve">: Epoxy flooring should be resistant to stains and microbes. </t>
    </r>
    <r>
      <rPr>
        <b/>
        <sz val="11"/>
        <color theme="1"/>
        <rFont val="Calibri"/>
        <family val="2"/>
      </rPr>
      <t>Chemical resistant</t>
    </r>
    <r>
      <rPr>
        <sz val="11"/>
        <color theme="1"/>
        <rFont val="Calibri"/>
        <family val="2"/>
      </rPr>
      <t xml:space="preserve">: Epoxy flooring should be resistant to chemicals and able to withstand aggressive cleaning. </t>
    </r>
    <r>
      <rPr>
        <b/>
        <sz val="11"/>
        <color theme="1"/>
        <rFont val="Calibri"/>
        <family val="2"/>
      </rPr>
      <t>Durable</t>
    </r>
    <r>
      <rPr>
        <sz val="11"/>
        <color theme="1"/>
        <rFont val="Calibri"/>
        <family val="2"/>
      </rPr>
      <t xml:space="preserve">: Epoxy flooring should be ultra-durable and resistant to heavy traffic and equipment. </t>
    </r>
    <r>
      <rPr>
        <b/>
        <sz val="11"/>
        <color theme="1"/>
        <rFont val="Calibri"/>
        <family val="2"/>
      </rPr>
      <t>Non-porous</t>
    </r>
    <r>
      <rPr>
        <sz val="11"/>
        <color theme="1"/>
        <rFont val="Calibri"/>
        <family val="2"/>
      </rPr>
      <t xml:space="preserve">: Epoxy flooring should be seamless and non-porous. </t>
    </r>
    <r>
      <rPr>
        <b/>
        <sz val="11"/>
        <color theme="1"/>
        <rFont val="Calibri"/>
        <family val="2"/>
      </rPr>
      <t>Coefficient of friction</t>
    </r>
    <r>
      <rPr>
        <sz val="11"/>
        <color theme="1"/>
        <rFont val="Calibri"/>
        <family val="2"/>
      </rPr>
      <t>: Epoxy flooring should meet or exceed the requirements for ADA flat and inclined surfaces, as well as OSHA and NFPA requirements. </t>
    </r>
  </si>
  <si>
    <t xml:space="preserve">Conference Room Door </t>
  </si>
  <si>
    <t>Door to verandah</t>
  </si>
  <si>
    <t>Surgical Critical</t>
  </si>
  <si>
    <t>Medical Semi Critical</t>
  </si>
  <si>
    <t>Isolation Room</t>
  </si>
  <si>
    <t>Subcritical Room/ Pre term</t>
  </si>
  <si>
    <t xml:space="preserve">Term Stable </t>
  </si>
  <si>
    <t>Medication Preparation Room</t>
  </si>
  <si>
    <t>KMC</t>
  </si>
  <si>
    <t>Conference Room</t>
  </si>
  <si>
    <t>Staff Kitchen</t>
  </si>
  <si>
    <t>Patient Toilet</t>
  </si>
  <si>
    <t>Physician Duty Room</t>
  </si>
  <si>
    <t>Nurse Duty Room</t>
  </si>
  <si>
    <t xml:space="preserve">Head Nurse Office </t>
  </si>
  <si>
    <t>Store</t>
  </si>
  <si>
    <t>X-Ray Room</t>
  </si>
  <si>
    <t>Cleaning Station</t>
  </si>
  <si>
    <t>Mother Waiting Area</t>
  </si>
  <si>
    <t>Including 25% reserve pitches</t>
  </si>
  <si>
    <t>Connect Existing Laundry machine so as to make it operational by providing  a grounded electrical outlet in close proximity, a hot and cold water supply lines with shutoff valves and a standpipe or laundry tub.</t>
  </si>
  <si>
    <t>3.1</t>
  </si>
  <si>
    <t>3.1.1</t>
  </si>
  <si>
    <t>4.1</t>
  </si>
  <si>
    <t>4.1.1</t>
  </si>
  <si>
    <t>5.1.2</t>
  </si>
  <si>
    <t>Aluminum doors, windows and curtain walls</t>
  </si>
  <si>
    <r>
      <rPr>
        <b/>
        <sz val="11"/>
        <color theme="1"/>
        <rFont val="Calibri"/>
        <family val="2"/>
      </rPr>
      <t>Standards</t>
    </r>
    <r>
      <rPr>
        <sz val="11"/>
        <color theme="1"/>
        <rFont val="Calibri"/>
        <family val="2"/>
      </rPr>
      <t xml:space="preserve">
Comply with the following standard.
Hot dip galvanized coating on iron and steel articles BS 729
Anodic oxidation coating on Aluminum BS 1615
Anodic oxide coating on Aluminum for external architectural application BS 3987
Wrought steel for mechanical &amp; allied engineering purposes BS 970
</t>
    </r>
  </si>
  <si>
    <t>Aluminum Doors</t>
  </si>
  <si>
    <t>3.1.2</t>
  </si>
  <si>
    <t>Main Corridor</t>
  </si>
  <si>
    <r>
      <rPr>
        <b/>
        <sz val="18"/>
        <color indexed="8"/>
        <rFont val="Cambria"/>
        <family val="1"/>
        <scheme val="major"/>
      </rPr>
      <t>01.</t>
    </r>
    <r>
      <rPr>
        <sz val="18"/>
        <color indexed="8"/>
        <rFont val="Cambria"/>
        <family val="1"/>
        <scheme val="major"/>
      </rPr>
      <t xml:space="preserve"> CARPENTERY AND JOINERY</t>
    </r>
  </si>
  <si>
    <r>
      <rPr>
        <b/>
        <sz val="18"/>
        <color indexed="8"/>
        <rFont val="Cambria"/>
        <family val="1"/>
        <scheme val="major"/>
      </rPr>
      <t>02.</t>
    </r>
    <r>
      <rPr>
        <sz val="18"/>
        <color indexed="8"/>
        <rFont val="Cambria"/>
        <family val="1"/>
        <scheme val="major"/>
      </rPr>
      <t xml:space="preserve"> METAL WORK</t>
    </r>
  </si>
  <si>
    <r>
      <rPr>
        <b/>
        <sz val="18"/>
        <color indexed="8"/>
        <rFont val="Cambria"/>
        <family val="1"/>
        <scheme val="major"/>
      </rPr>
      <t>03.</t>
    </r>
    <r>
      <rPr>
        <sz val="18"/>
        <color indexed="8"/>
        <rFont val="Cambria"/>
        <family val="1"/>
        <scheme val="major"/>
      </rPr>
      <t xml:space="preserve"> FLOOR FINISHING</t>
    </r>
  </si>
  <si>
    <r>
      <rPr>
        <b/>
        <sz val="18"/>
        <color indexed="8"/>
        <rFont val="Cambria"/>
        <family val="1"/>
        <scheme val="major"/>
      </rPr>
      <t>04</t>
    </r>
    <r>
      <rPr>
        <sz val="18"/>
        <color indexed="8"/>
        <rFont val="Cambria"/>
        <family val="1"/>
        <scheme val="major"/>
      </rPr>
      <t>. PAINTING</t>
    </r>
  </si>
  <si>
    <r>
      <rPr>
        <b/>
        <sz val="18"/>
        <color indexed="8"/>
        <rFont val="Cambria"/>
        <family val="1"/>
        <scheme val="major"/>
      </rPr>
      <t>05</t>
    </r>
    <r>
      <rPr>
        <sz val="18"/>
        <color indexed="8"/>
        <rFont val="Cambria"/>
        <family val="1"/>
        <scheme val="major"/>
      </rPr>
      <t>. GLAZING</t>
    </r>
  </si>
  <si>
    <r>
      <rPr>
        <b/>
        <sz val="18"/>
        <color indexed="8"/>
        <rFont val="Cambria"/>
        <family val="1"/>
        <scheme val="major"/>
      </rPr>
      <t>06</t>
    </r>
    <r>
      <rPr>
        <sz val="18"/>
        <color indexed="8"/>
        <rFont val="Cambria"/>
        <family val="1"/>
        <scheme val="major"/>
      </rPr>
      <t>. ELECTRICAL WORK</t>
    </r>
  </si>
  <si>
    <r>
      <rPr>
        <b/>
        <sz val="18"/>
        <color indexed="8"/>
        <rFont val="Cambria"/>
        <family val="1"/>
        <scheme val="major"/>
      </rPr>
      <t>07</t>
    </r>
    <r>
      <rPr>
        <sz val="18"/>
        <color indexed="8"/>
        <rFont val="Cambria"/>
        <family val="1"/>
        <scheme val="major"/>
      </rPr>
      <t>. SANITARY WORK</t>
    </r>
  </si>
  <si>
    <t>08. MECHANICAL WORK</t>
  </si>
  <si>
    <t>2.1.1.1</t>
  </si>
  <si>
    <t>2.1.2</t>
  </si>
  <si>
    <t>2.1.2.1</t>
  </si>
  <si>
    <t>2.1.1.2</t>
  </si>
  <si>
    <t xml:space="preserve">Size 4.50x1.80m [between HDU 2 and Medical Semi Critical]
</t>
  </si>
  <si>
    <t>2.1.2.2</t>
  </si>
  <si>
    <t>2.1.2.3</t>
  </si>
  <si>
    <t>Pharmacy</t>
  </si>
  <si>
    <t>3.1.3</t>
  </si>
  <si>
    <t>3.1.4</t>
  </si>
  <si>
    <t>3.1.5</t>
  </si>
  <si>
    <t>3.1.6</t>
  </si>
  <si>
    <t>3.1.7</t>
  </si>
  <si>
    <t>3.1.8</t>
  </si>
  <si>
    <t>3.1.9</t>
  </si>
  <si>
    <t>3.1.10</t>
  </si>
  <si>
    <t>3.1.11</t>
  </si>
  <si>
    <t>3.1.12</t>
  </si>
  <si>
    <t>3.1.13</t>
  </si>
  <si>
    <t>3.1.14</t>
  </si>
  <si>
    <t>3.1.15</t>
  </si>
  <si>
    <t>3.1.16</t>
  </si>
  <si>
    <t>2.1.1.3</t>
  </si>
  <si>
    <t>4.1.2</t>
  </si>
  <si>
    <t>4.1.3</t>
  </si>
  <si>
    <t>4.1.4</t>
  </si>
  <si>
    <t>4.1.5</t>
  </si>
  <si>
    <t>4.1.6</t>
  </si>
  <si>
    <t>4.1.7</t>
  </si>
  <si>
    <t>4.1.8</t>
  </si>
  <si>
    <t>4.1.9</t>
  </si>
  <si>
    <t>4.1.10</t>
  </si>
  <si>
    <t>4.1.11</t>
  </si>
  <si>
    <t>4.1.12</t>
  </si>
  <si>
    <t>4.1.13</t>
  </si>
  <si>
    <t>4.1.14</t>
  </si>
  <si>
    <t>4.1.15</t>
  </si>
  <si>
    <t>4.1.16</t>
  </si>
  <si>
    <t>4.1.17</t>
  </si>
  <si>
    <t>4.1.18</t>
  </si>
  <si>
    <t>4.1.19</t>
  </si>
  <si>
    <t>4.1.20</t>
  </si>
  <si>
    <t>4.1.21</t>
  </si>
  <si>
    <t>4.1.22</t>
  </si>
  <si>
    <t>4.1.23</t>
  </si>
  <si>
    <t>4.2</t>
  </si>
  <si>
    <t>4.3</t>
  </si>
  <si>
    <t>4.3.1</t>
  </si>
  <si>
    <t>4.2.2</t>
  </si>
  <si>
    <t>4.2.3</t>
  </si>
  <si>
    <t>4.2.4</t>
  </si>
  <si>
    <t>4.2.5</t>
  </si>
  <si>
    <t>4.2.6</t>
  </si>
  <si>
    <t>4.2.7</t>
  </si>
  <si>
    <t>4.2.8</t>
  </si>
  <si>
    <t>4.2.9</t>
  </si>
  <si>
    <t>4.2.10</t>
  </si>
  <si>
    <t>4.2.11</t>
  </si>
  <si>
    <t>4.2.12</t>
  </si>
  <si>
    <t>4.2.13</t>
  </si>
  <si>
    <t>4.2.14</t>
  </si>
  <si>
    <t>4.2.15</t>
  </si>
  <si>
    <t>4.2.16</t>
  </si>
  <si>
    <t>4.2.17</t>
  </si>
  <si>
    <t>4.2.18</t>
  </si>
  <si>
    <t>4.2.19</t>
  </si>
  <si>
    <t>4.2.20</t>
  </si>
  <si>
    <t>4.2.21</t>
  </si>
  <si>
    <t>4.2.22</t>
  </si>
  <si>
    <t>4.2.23</t>
  </si>
  <si>
    <t>6.2.1</t>
  </si>
  <si>
    <t>6.2.2</t>
  </si>
  <si>
    <t>6.2.3</t>
  </si>
  <si>
    <t>6.2.4</t>
  </si>
  <si>
    <t>6.2.5</t>
  </si>
  <si>
    <t>6.2.6</t>
  </si>
  <si>
    <t>6.2.7</t>
  </si>
  <si>
    <t>6.2.8</t>
  </si>
  <si>
    <t>6.2.9</t>
  </si>
  <si>
    <t>6.2.10</t>
  </si>
  <si>
    <t>6.2.11</t>
  </si>
  <si>
    <t>6.2.12</t>
  </si>
  <si>
    <t>6.2.13</t>
  </si>
  <si>
    <t>6.2.14</t>
  </si>
  <si>
    <t>6.2.15</t>
  </si>
  <si>
    <t>6.2.16</t>
  </si>
  <si>
    <t>6.2.17</t>
  </si>
  <si>
    <t>6.2.18</t>
  </si>
  <si>
    <t>6.3.1</t>
  </si>
  <si>
    <t>6.3.2</t>
  </si>
  <si>
    <t>6.3.3</t>
  </si>
  <si>
    <t>6.3.4</t>
  </si>
  <si>
    <t>6.3.5</t>
  </si>
  <si>
    <t>6.3.6</t>
  </si>
  <si>
    <t>6.3.7</t>
  </si>
  <si>
    <t>6.3.8</t>
  </si>
  <si>
    <t>6.3.9</t>
  </si>
  <si>
    <t>6.3.10</t>
  </si>
  <si>
    <t>6.3.11</t>
  </si>
  <si>
    <t>6.3.12</t>
  </si>
  <si>
    <t>6.3.13</t>
  </si>
  <si>
    <t>6.3.14</t>
  </si>
  <si>
    <t>6.3.15</t>
  </si>
  <si>
    <t>6.3.16</t>
  </si>
  <si>
    <t>6.3.17</t>
  </si>
  <si>
    <t>6.3.18</t>
  </si>
  <si>
    <r>
      <t xml:space="preserve">Supply and fix </t>
    </r>
    <r>
      <rPr>
        <u/>
        <sz val="11"/>
        <color rgb="FF000000"/>
        <rFont val="Calibri"/>
        <family val="2"/>
      </rPr>
      <t>High quality</t>
    </r>
    <r>
      <rPr>
        <sz val="11"/>
        <color rgb="FF000000"/>
        <rFont val="Calibri"/>
        <family val="2"/>
      </rPr>
      <t xml:space="preserve"> Gold Dragon or equivalent brand  </t>
    </r>
    <r>
      <rPr>
        <u/>
        <sz val="11"/>
        <color rgb="FF000000"/>
        <rFont val="Calibri"/>
        <family val="2"/>
      </rPr>
      <t>Hand wash Basin</t>
    </r>
    <r>
      <rPr>
        <sz val="11"/>
        <color rgb="FF000000"/>
        <rFont val="Calibri"/>
        <family val="2"/>
      </rPr>
      <t xml:space="preserve">. The fixture shall conform to BS5506-3 or equivalent institution. The  mixing faucets, waste drain holes, bottle trap, waste fitting, connecting pieces, fixing, </t>
    </r>
    <r>
      <rPr>
        <u/>
        <sz val="11"/>
        <color rgb="FF000000"/>
        <rFont val="Calibri"/>
        <family val="2"/>
      </rPr>
      <t>female attakini(60cm long)</t>
    </r>
    <r>
      <rPr>
        <sz val="11"/>
        <color rgb="FF000000"/>
        <rFont val="Calibri"/>
        <family val="2"/>
      </rPr>
      <t xml:space="preserve"> and supporting elements and all other accessories shall comply with relevant clauses of BS standard or equivalent institution.     size:</t>
    </r>
    <r>
      <rPr>
        <u/>
        <sz val="11"/>
        <color rgb="FF000000"/>
        <rFont val="Calibri"/>
        <family val="2"/>
      </rPr>
      <t>520x420mmx850 mm high [Mother Waiting Area, Triage, next to Conference Room]</t>
    </r>
  </si>
  <si>
    <t xml:space="preserve">Size 2.00x0.98m [HDU 1]
</t>
  </si>
  <si>
    <t xml:space="preserve">Size 2.00x1.00m [Patient Shower Partition]
</t>
  </si>
  <si>
    <t xml:space="preserve">Size 2.00x1.23m [Cleaning Station]
</t>
  </si>
  <si>
    <t xml:space="preserve">Size 2.00x1.23m [Medical Semi Critical]
</t>
  </si>
  <si>
    <t xml:space="preserve">Size 2.00x1.23m [Surgical Critical]
</t>
  </si>
  <si>
    <t xml:space="preserve">Size 2.00x1.23m [Nurse Duty Room]
</t>
  </si>
  <si>
    <t xml:space="preserve">Size 2.00x1.23m [Medication Preparation Room]
</t>
  </si>
  <si>
    <t xml:space="preserve">Size 2.00x1.23m [Subcritical Preterm]
</t>
  </si>
  <si>
    <t xml:space="preserve">Size 2.00x1.23m [Term Stable]
</t>
  </si>
  <si>
    <t xml:space="preserve">Size 2.00x1.23m [Head Nurse Office]
</t>
  </si>
  <si>
    <t xml:space="preserve">Size 2.00x0.98m [Mother Waiting Area]
</t>
  </si>
  <si>
    <t xml:space="preserve">Size 2.00x1.23m [Isolation Room]
</t>
  </si>
  <si>
    <t xml:space="preserve">Size 2.00x1.23m [KMC]
</t>
  </si>
  <si>
    <t xml:space="preserve">Size 2.00x1.00m [Swinging Door inside KMC]
</t>
  </si>
  <si>
    <t xml:space="preserve">Size 2.00x0.98m [Staff Toilet]
</t>
  </si>
  <si>
    <t xml:space="preserve">Size 2.00x0.98m [Staff Kitchen]
</t>
  </si>
  <si>
    <t xml:space="preserve">Size 2.00x0.98m [Pharmacy]
</t>
  </si>
  <si>
    <t xml:space="preserve">Size 2.00x0.98m [Patient Toilet]
</t>
  </si>
  <si>
    <t xml:space="preserve">Size 2.00x0.98m [Physician Duty Room]
</t>
  </si>
  <si>
    <t xml:space="preserve">Size 2.00x1.00m [X-Ray]
</t>
  </si>
  <si>
    <t xml:space="preserve">Size 6.00x0.60m [Store Top Window]
</t>
  </si>
  <si>
    <t>2.1.1.4</t>
  </si>
  <si>
    <t>2.1.1.5</t>
  </si>
  <si>
    <t>2.1.1.6</t>
  </si>
  <si>
    <t>2.1.1.7</t>
  </si>
  <si>
    <t>2.1.1.8</t>
  </si>
  <si>
    <t>2.1.1.9</t>
  </si>
  <si>
    <t>2.1.1.10</t>
  </si>
  <si>
    <t>2.1.1.11</t>
  </si>
  <si>
    <t>2.1.1.12</t>
  </si>
  <si>
    <t>2.1.1.13</t>
  </si>
  <si>
    <t>2.1.1.14</t>
  </si>
  <si>
    <t>2.1.1.15</t>
  </si>
  <si>
    <t>2.1.1.16</t>
  </si>
  <si>
    <t>2.1.1.17</t>
  </si>
  <si>
    <t>2.1.1.18</t>
  </si>
  <si>
    <t>2.1.1.19</t>
  </si>
  <si>
    <t>2.1.1.20</t>
  </si>
  <si>
    <t xml:space="preserve">Size 4.50x1.80m [between HDU 2 and Surgical Critical]
</t>
  </si>
  <si>
    <t>Aluminum Windows</t>
  </si>
  <si>
    <t>3.1.17</t>
  </si>
  <si>
    <t>Staff Toilet</t>
  </si>
  <si>
    <t>4.4</t>
  </si>
  <si>
    <t>4.4.1</t>
  </si>
  <si>
    <t>4.4.2</t>
  </si>
  <si>
    <t>Access Door to NICU</t>
  </si>
  <si>
    <t>4.4.3</t>
  </si>
  <si>
    <r>
      <t xml:space="preserve">Supply and Apply three coats of plastic emulsion paint to </t>
    </r>
    <r>
      <rPr>
        <b/>
        <sz val="11"/>
        <color theme="1"/>
        <rFont val="Calibri"/>
        <family val="2"/>
      </rPr>
      <t>concrete slab soffit</t>
    </r>
    <r>
      <rPr>
        <sz val="11"/>
        <color theme="1"/>
        <rFont val="Calibri"/>
        <family val="2"/>
      </rPr>
      <t xml:space="preserve"> (Jotun or equivalent). Color to be approved by the Architect/Engineer.</t>
    </r>
  </si>
  <si>
    <r>
      <t xml:space="preserve">Supply and Apply three coats of plastic emulsion paint to </t>
    </r>
    <r>
      <rPr>
        <b/>
        <sz val="11"/>
        <color theme="1"/>
        <rFont val="Calibri"/>
        <family val="2"/>
      </rPr>
      <t xml:space="preserve">Suspended Ceiling </t>
    </r>
    <r>
      <rPr>
        <sz val="11"/>
        <color theme="1"/>
        <rFont val="Calibri"/>
        <family val="2"/>
      </rPr>
      <t>(Jotun or equivalent). Color to be approved by the Architect/Engineer.</t>
    </r>
  </si>
  <si>
    <r>
      <t xml:space="preserve">Supply and Apply three coats of acrylic emulsion paint to </t>
    </r>
    <r>
      <rPr>
        <b/>
        <sz val="11"/>
        <color theme="1"/>
        <rFont val="Calibri"/>
        <family val="2"/>
      </rPr>
      <t>internal plastered wall</t>
    </r>
    <r>
      <rPr>
        <sz val="11"/>
        <color theme="1"/>
        <rFont val="Calibri"/>
        <family val="2"/>
      </rPr>
      <t xml:space="preserve"> surfaces (Jotun or equivalent). Cost includes cleaning both surfaces and fixing all cracks with Masonry Filler. Color to be approved by the Architect/Engineer.</t>
    </r>
  </si>
  <si>
    <r>
      <t xml:space="preserve">Supply and Apply two coats of special aluminum paint to existing metal </t>
    </r>
    <r>
      <rPr>
        <b/>
        <sz val="11"/>
        <color theme="1"/>
        <rFont val="Calibri"/>
        <family val="2"/>
      </rPr>
      <t>Doors</t>
    </r>
    <r>
      <rPr>
        <sz val="11"/>
        <color theme="1"/>
        <rFont val="Calibri"/>
        <family val="2"/>
      </rPr>
      <t>. Color to be approved by the Architect/Engineer.</t>
    </r>
  </si>
  <si>
    <t>07</t>
  </si>
  <si>
    <t>7.1.1</t>
  </si>
  <si>
    <t>7.1.2</t>
  </si>
  <si>
    <t>7.1.3</t>
  </si>
  <si>
    <t>7.1.4</t>
  </si>
  <si>
    <t>High Dependency Unit (HDU) 1</t>
  </si>
  <si>
    <t>High Dependency Unit (HDU) 2</t>
  </si>
  <si>
    <t>All fixtures, equipment, pipes &amp; materials which are specified below shall be subject to the Engineer's approval, based on Samples, Catalogues and/or Brochures presented by the contractor. Unit Price shall include all the necessary installation accessories and all assistance civil works there to for the proper installation and operation of the sanitary wares, pipe works and any other related sanitary works.</t>
  </si>
  <si>
    <t xml:space="preserve">Supply and Fix 3.0 mm thick Self-smoothing epoxy flooring with Premier and waring coarse. The existing epoxy must be removed and the substrate must be cleaned and freed of all contaminants such as dirt, oil, grease, coatings and surface treatments, etc. Weak concrete must be removed and surface defects such as blowholes and voids must be fully exposed. The concrete or screed substrate has to be primed or levelled in order to achieve an even surface. </t>
  </si>
  <si>
    <t xml:space="preserve">Aluminum doors and windows made of 1.6 mm thick  extruded profiles. The aluminum profiles shall be of approved color with brushed finish cuts. Manufacturing of the doors is subject to the approval of shop drawings to be provided by the Contractor.  Price shall include 6mm thick nonreflective tinted glass, approved type of locks, door stopper  and handle. Hinges, Locks, Profiles and all important accessories  should be approved by the Engineer. 
</t>
  </si>
  <si>
    <t>BILL OF QUANTITY - Black Lion Hospital  NICU Renovation</t>
  </si>
  <si>
    <t>Consultant's estimation for the realization of the civil works is 3 months</t>
  </si>
  <si>
    <t xml:space="preserve">Supply and fix  Shower units made of enameled fiber glass, complete with level controlled mixing valve, approved quality flexible shower head, p-smeel trap and with all other necessary accessories. Size:- 700 x 700 mm      </t>
  </si>
  <si>
    <t>Wall Outlet Terminals, Oxygen</t>
  </si>
  <si>
    <t>Copper tubing, Dia.22mm</t>
  </si>
  <si>
    <t>ml</t>
  </si>
  <si>
    <t>Copper tubing, Dia.12mm</t>
  </si>
  <si>
    <t xml:space="preserve">Copper tube accessories like T, Elbow, direct, etc connectors </t>
  </si>
  <si>
    <t>Pipe Clip, ring</t>
  </si>
  <si>
    <t>Line Valves</t>
  </si>
  <si>
    <t xml:space="preserve">Labor (including all welding and installation material) </t>
  </si>
  <si>
    <t>8.1.2</t>
  </si>
  <si>
    <t>8.1.3</t>
  </si>
  <si>
    <t>8.1.4</t>
  </si>
  <si>
    <t>8.1.5</t>
  </si>
  <si>
    <t>8.1.6</t>
  </si>
  <si>
    <t>Wall Outlet Terminals, Air</t>
  </si>
  <si>
    <t>Wall Outlet Terminals, Vacuum</t>
  </si>
  <si>
    <t>Blender complete with Flow Meter, tubing and pig tails</t>
  </si>
  <si>
    <t>Switch Board</t>
  </si>
  <si>
    <t>6.1</t>
  </si>
  <si>
    <t>6.1.1</t>
  </si>
  <si>
    <t>Surface mounted Distribution Board of metal enclosure MDB-LP with lockable door, complete with bus terminals 200A/3ph, neutral and earth bars consisting of:-</t>
  </si>
  <si>
    <t>1pc RCD of 100mA/4 pole</t>
  </si>
  <si>
    <t>5 pcs MCB of 10A/3ph</t>
  </si>
  <si>
    <t>1 pcs MCB of 16A/3ph</t>
  </si>
  <si>
    <t>5 pcs MCB of 25A/3ph</t>
  </si>
  <si>
    <t>1 pc MCB of 40A/3ph</t>
  </si>
  <si>
    <t>1 pcs MCB of 50A/3ph</t>
  </si>
  <si>
    <t>5 pcs MCB of 63A/3ph</t>
  </si>
  <si>
    <t>1pc main MCCB of 160A/3ph</t>
  </si>
  <si>
    <t>SUB TOTAL GLAZING WORK ETH BIRR</t>
  </si>
  <si>
    <t>1.1.2</t>
  </si>
  <si>
    <t>1.1.3</t>
  </si>
  <si>
    <t>1.1.4</t>
  </si>
  <si>
    <t>1.1.5</t>
  </si>
  <si>
    <t>1.1.6</t>
  </si>
  <si>
    <t>8.3.1</t>
  </si>
  <si>
    <t>8.3.2</t>
  </si>
  <si>
    <t>8.3.3</t>
  </si>
  <si>
    <t>8.3.4</t>
  </si>
  <si>
    <t>8.3.5</t>
  </si>
  <si>
    <t>8.3.6</t>
  </si>
  <si>
    <t>8.3.7</t>
  </si>
  <si>
    <t>8.2.1</t>
  </si>
  <si>
    <t>8.2.2</t>
  </si>
  <si>
    <t>8.2.3</t>
  </si>
  <si>
    <t>8.2.4</t>
  </si>
  <si>
    <t>8.2.5</t>
  </si>
  <si>
    <t>8.2.6</t>
  </si>
  <si>
    <t>Flush mounting socket outlet of 16A 1Phase @+1.20m from FFL</t>
  </si>
  <si>
    <t>All components should be manufactured with the following standards and requirements:                                                                                                                              BS EN 7396-1: Pipeline Systems for Compressed Medical Gases and Vacuum.
BS EN 10524-2: Pressure Regulators.
BS EN 21969 High-Pressure Flexible Connectors.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</si>
</sst>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General_)"/>
    <numFmt numFmtId="166" formatCode="&quot;$&quot;#,##0;[Red]\-&quot;$&quot;#,##0"/>
    <numFmt numFmtId="167" formatCode="_(* #,##0_);_(* \(#,##0\);_(* &quot;-&quot;??_);_(@_)"/>
    <numFmt numFmtId="168" formatCode="&quot; &quot;#,##0.00&quot; &quot;;&quot; (&quot;#,##0.00&quot;)&quot;;&quot; -&quot;00&quot; &quot;;&quot; &quot;@&quot; &quot;"/>
  </numFmts>
  <fonts count="36">
    <font>
      <sz val="11"/>
      <color theme="1"/>
      <name val="Calibri"/>
      <family val="2"/>
      <scheme val="minor"/>
    </font>
    <font>
      <sz val="11"/>
      <color theme="1"/>
      <name val="Calibri"/>
      <family val="2"/>
      <scheme val="minor"/>
    </font>
    <font>
      <sz val="10"/>
      <name val="Arial"/>
      <family val="2"/>
    </font>
    <font>
      <b/>
      <sz val="18"/>
      <color theme="1"/>
      <name val="Tw Cen MT"/>
      <family val="2"/>
    </font>
    <font>
      <sz val="18"/>
      <color theme="1"/>
      <name val="Tw Cen MT"/>
      <family val="2"/>
    </font>
    <font>
      <sz val="10"/>
      <name val="Stylus BT"/>
      <family val="2"/>
    </font>
    <font>
      <b/>
      <sz val="12"/>
      <name val="Calibri"/>
      <family val="2"/>
      <scheme val="minor"/>
    </font>
    <font>
      <sz val="11"/>
      <name val="Calibri"/>
      <family val="2"/>
      <scheme val="minor"/>
    </font>
    <font>
      <b/>
      <sz val="18"/>
      <color theme="1"/>
      <name val="Cambria"/>
      <family val="1"/>
      <scheme val="major"/>
    </font>
    <font>
      <sz val="18"/>
      <color theme="1"/>
      <name val="Cambria"/>
      <family val="1"/>
      <scheme val="major"/>
    </font>
    <font>
      <sz val="18"/>
      <color indexed="8"/>
      <name val="Cambria"/>
      <family val="1"/>
      <scheme val="major"/>
    </font>
    <font>
      <b/>
      <sz val="18"/>
      <color indexed="8"/>
      <name val="Cambria"/>
      <family val="1"/>
      <scheme val="major"/>
    </font>
    <font>
      <b/>
      <sz val="11"/>
      <name val="Calibri"/>
      <family val="2"/>
      <scheme val="minor"/>
    </font>
    <font>
      <sz val="8"/>
      <name val="Calibri"/>
      <family val="2"/>
      <scheme val="minor"/>
    </font>
    <font>
      <sz val="11"/>
      <color rgb="FFFF0000"/>
      <name val="Calibri"/>
      <family val="2"/>
      <scheme val="minor"/>
    </font>
    <font>
      <sz val="11"/>
      <color rgb="FF000000"/>
      <name val="Calibri"/>
      <family val="2"/>
    </font>
    <font>
      <sz val="11"/>
      <color theme="1"/>
      <name val="Calibri"/>
      <family val="2"/>
      <charset val="1"/>
      <scheme val="minor"/>
    </font>
    <font>
      <b/>
      <sz val="20"/>
      <name val="Garamond"/>
      <family val="1"/>
    </font>
    <font>
      <b/>
      <sz val="12"/>
      <name val="Garamond"/>
      <family val="1"/>
    </font>
    <font>
      <sz val="10"/>
      <name val="Garamond"/>
      <family val="1"/>
    </font>
    <font>
      <sz val="12"/>
      <name val="Garamond"/>
      <family val="1"/>
    </font>
    <font>
      <sz val="11"/>
      <name val="Garamond"/>
      <family val="1"/>
    </font>
    <font>
      <sz val="20"/>
      <name val="Garamond"/>
      <family val="1"/>
    </font>
    <font>
      <b/>
      <sz val="12"/>
      <color theme="1"/>
      <name val="Garamond"/>
      <family val="1"/>
    </font>
    <font>
      <b/>
      <sz val="11"/>
      <name val="Garamond"/>
      <family val="1"/>
    </font>
    <font>
      <b/>
      <sz val="14"/>
      <name val="Garamond"/>
      <family val="1"/>
    </font>
    <font>
      <sz val="10"/>
      <color rgb="FF000000"/>
      <name val="Times New Roman"/>
      <family val="1"/>
    </font>
    <font>
      <sz val="12"/>
      <color rgb="FF000000"/>
      <name val="Garamond"/>
      <family val="1"/>
    </font>
    <font>
      <sz val="12"/>
      <color rgb="FFFF0000"/>
      <name val="Garamond"/>
      <family val="1"/>
    </font>
    <font>
      <sz val="11"/>
      <color theme="1"/>
      <name val="Calibri"/>
      <family val="2"/>
    </font>
    <font>
      <b/>
      <sz val="11"/>
      <color theme="1"/>
      <name val="Calibri"/>
      <family val="2"/>
    </font>
    <font>
      <sz val="11"/>
      <color rgb="FF0070C0"/>
      <name val="Calibri"/>
      <family val="2"/>
      <scheme val="minor"/>
    </font>
    <font>
      <u/>
      <sz val="11"/>
      <color rgb="FF000000"/>
      <name val="Calibri"/>
      <family val="2"/>
    </font>
    <font>
      <sz val="10"/>
      <color theme="1"/>
      <name val="Calibri"/>
      <family val="2"/>
    </font>
    <font>
      <vertAlign val="superscript"/>
      <sz val="11"/>
      <color theme="1"/>
      <name val="Calibri"/>
      <family val="2"/>
    </font>
    <font>
      <sz val="11"/>
      <color theme="1"/>
      <name val="Garamond"/>
      <family val="1"/>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s>
  <borders count="39">
    <border>
      <left/>
      <right/>
      <top/>
      <bottom/>
      <diagonal/>
    </border>
    <border>
      <left style="medium">
        <color indexed="64"/>
      </left>
      <right/>
      <top/>
      <bottom/>
      <diagonal/>
    </border>
    <border>
      <left style="medium">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auto="1"/>
      </left>
      <right style="medium">
        <color auto="1"/>
      </right>
      <top/>
      <bottom style="hair">
        <color indexed="64"/>
      </bottom>
      <diagonal/>
    </border>
    <border>
      <left style="medium">
        <color auto="1"/>
      </left>
      <right style="medium">
        <color auto="1"/>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auto="1"/>
      </left>
      <right style="medium">
        <color auto="1"/>
      </right>
      <top style="hair">
        <color auto="1"/>
      </top>
      <bottom/>
      <diagonal/>
    </border>
    <border>
      <left style="medium">
        <color indexed="64"/>
      </left>
      <right style="medium">
        <color auto="1"/>
      </right>
      <top style="medium">
        <color indexed="64"/>
      </top>
      <bottom style="hair">
        <color indexed="64"/>
      </bottom>
      <diagonal/>
    </border>
    <border>
      <left style="thick">
        <color auto="1"/>
      </left>
      <right/>
      <top style="thick">
        <color auto="1"/>
      </top>
      <bottom/>
      <diagonal/>
    </border>
    <border>
      <left/>
      <right/>
      <top style="thick">
        <color indexed="64"/>
      </top>
      <bottom/>
      <diagonal/>
    </border>
    <border>
      <left/>
      <right style="thick">
        <color auto="1"/>
      </right>
      <top style="thick">
        <color auto="1"/>
      </top>
      <bottom/>
      <diagonal/>
    </border>
    <border>
      <left style="thick">
        <color indexed="64"/>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hair">
        <color rgb="FF000000"/>
      </top>
      <bottom style="hair">
        <color rgb="FF000000"/>
      </bottom>
      <diagonal/>
    </border>
    <border>
      <left/>
      <right/>
      <top style="hair">
        <color rgb="FF000000"/>
      </top>
      <bottom style="hair">
        <color rgb="FF000000"/>
      </bottom>
      <diagonal/>
    </border>
    <border>
      <left style="medium">
        <color indexed="64"/>
      </left>
      <right/>
      <top style="hair">
        <color rgb="FF000000"/>
      </top>
      <bottom style="hair">
        <color rgb="FF000000"/>
      </bottom>
      <diagonal/>
    </border>
    <border>
      <left style="medium">
        <color rgb="FF000000"/>
      </left>
      <right style="medium">
        <color rgb="FF000000"/>
      </right>
      <top style="hair">
        <color rgb="FF000000"/>
      </top>
      <bottom style="hair">
        <color rgb="FF000000"/>
      </bottom>
      <diagonal/>
    </border>
    <border>
      <left/>
      <right style="medium">
        <color auto="1"/>
      </right>
      <top style="medium">
        <color indexed="64"/>
      </top>
      <bottom style="hair">
        <color indexed="64"/>
      </bottom>
      <diagonal/>
    </border>
    <border>
      <left style="medium">
        <color rgb="FF000000"/>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indexed="64"/>
      </left>
      <right style="medium">
        <color indexed="64"/>
      </right>
      <top style="hair">
        <color rgb="FF000000"/>
      </top>
      <bottom/>
      <diagonal/>
    </border>
    <border>
      <left/>
      <right/>
      <top/>
      <bottom style="hair">
        <color rgb="FF000000"/>
      </bottom>
      <diagonal/>
    </border>
    <border>
      <left style="medium">
        <color rgb="FF000000"/>
      </left>
      <right style="medium">
        <color rgb="FF000000"/>
      </right>
      <top/>
      <bottom style="hair">
        <color rgb="FF000000"/>
      </bottom>
      <diagonal/>
    </border>
    <border>
      <left style="medium">
        <color rgb="FF000000"/>
      </left>
      <right/>
      <top style="hair">
        <color rgb="FF000000"/>
      </top>
      <bottom/>
      <diagonal/>
    </border>
    <border>
      <left style="medium">
        <color rgb="FF000000"/>
      </left>
      <right style="medium">
        <color rgb="FF000000"/>
      </right>
      <top style="hair">
        <color rgb="FF000000"/>
      </top>
      <bottom/>
      <diagonal/>
    </border>
    <border>
      <left style="medium">
        <color indexed="64"/>
      </left>
      <right/>
      <top/>
      <bottom style="hair">
        <color indexed="64"/>
      </bottom>
      <diagonal/>
    </border>
  </borders>
  <cellStyleXfs count="63">
    <xf numFmtId="0" fontId="0" fillId="0" borderId="0"/>
    <xf numFmtId="164" fontId="1"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5" fillId="0" borderId="0"/>
    <xf numFmtId="0" fontId="1" fillId="0" borderId="0"/>
    <xf numFmtId="0" fontId="15" fillId="0" borderId="0"/>
    <xf numFmtId="0" fontId="1" fillId="0" borderId="0"/>
    <xf numFmtId="168" fontId="15"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6" fillId="0" borderId="0"/>
    <xf numFmtId="164" fontId="2" fillId="0" borderId="0" applyFont="0" applyFill="0" applyBorder="0" applyAlignment="0" applyProtection="0"/>
    <xf numFmtId="0" fontId="26" fillId="0" borderId="0"/>
  </cellStyleXfs>
  <cellXfs count="180">
    <xf numFmtId="0" fontId="0" fillId="0" borderId="0" xfId="0"/>
    <xf numFmtId="0" fontId="4" fillId="0" borderId="0" xfId="8" applyFont="1"/>
    <xf numFmtId="0" fontId="10" fillId="0" borderId="7" xfId="8" applyFont="1" applyBorder="1"/>
    <xf numFmtId="0" fontId="8" fillId="0" borderId="8" xfId="8" applyFont="1" applyBorder="1" applyAlignment="1">
      <alignment horizontal="center"/>
    </xf>
    <xf numFmtId="164" fontId="9" fillId="0" borderId="11" xfId="1" applyFont="1" applyBorder="1" applyAlignment="1"/>
    <xf numFmtId="0" fontId="10" fillId="0" borderId="9" xfId="8" applyFont="1" applyBorder="1"/>
    <xf numFmtId="0" fontId="8" fillId="0" borderId="0" xfId="8" applyFont="1" applyAlignment="1">
      <alignment horizontal="right"/>
    </xf>
    <xf numFmtId="0" fontId="8" fillId="0" borderId="12" xfId="8" applyFont="1" applyBorder="1" applyAlignment="1">
      <alignment horizontal="center"/>
    </xf>
    <xf numFmtId="164" fontId="8" fillId="0" borderId="13" xfId="1" applyFont="1" applyFill="1" applyBorder="1" applyAlignment="1"/>
    <xf numFmtId="0" fontId="7" fillId="0" borderId="0" xfId="0" applyFont="1"/>
    <xf numFmtId="0" fontId="0" fillId="2" borderId="0" xfId="0" applyFill="1"/>
    <xf numFmtId="0" fontId="3" fillId="0" borderId="0" xfId="8" applyFont="1" applyAlignment="1">
      <alignment horizontal="center"/>
    </xf>
    <xf numFmtId="0" fontId="12" fillId="3" borderId="3" xfId="0" applyFont="1" applyFill="1" applyBorder="1" applyAlignment="1">
      <alignment horizontal="center" vertical="center" wrapText="1"/>
    </xf>
    <xf numFmtId="0" fontId="12" fillId="0" borderId="6" xfId="0" applyFont="1" applyBorder="1" applyAlignment="1">
      <alignment horizontal="left" vertical="center"/>
    </xf>
    <xf numFmtId="165" fontId="7" fillId="0" borderId="6" xfId="0" applyNumberFormat="1" applyFont="1" applyBorder="1" applyAlignment="1">
      <alignment horizontal="left"/>
    </xf>
    <xf numFmtId="0" fontId="12" fillId="0" borderId="0" xfId="0" applyFont="1" applyAlignment="1">
      <alignment horizontal="left"/>
    </xf>
    <xf numFmtId="0" fontId="7" fillId="0" borderId="6" xfId="5" applyFont="1" applyBorder="1" applyAlignment="1">
      <alignment horizontal="center" wrapText="1"/>
    </xf>
    <xf numFmtId="0" fontId="12" fillId="0" borderId="6" xfId="0" applyFont="1" applyBorder="1" applyAlignment="1">
      <alignment horizontal="left" vertical="center" wrapText="1"/>
    </xf>
    <xf numFmtId="164" fontId="4" fillId="0" borderId="0" xfId="8" applyNumberFormat="1" applyFont="1"/>
    <xf numFmtId="0" fontId="7" fillId="3" borderId="3" xfId="0" applyFont="1" applyFill="1" applyBorder="1" applyAlignment="1">
      <alignment horizontal="center" vertical="center" wrapText="1"/>
    </xf>
    <xf numFmtId="164" fontId="12" fillId="3" borderId="3" xfId="1" applyFont="1" applyFill="1" applyBorder="1" applyAlignment="1">
      <alignment horizontal="center" vertical="center" wrapText="1"/>
    </xf>
    <xf numFmtId="0" fontId="7" fillId="0" borderId="6" xfId="0" applyFont="1" applyBorder="1" applyAlignment="1">
      <alignment horizontal="center"/>
    </xf>
    <xf numFmtId="164" fontId="7" fillId="0" borderId="0" xfId="1" applyFont="1" applyBorder="1"/>
    <xf numFmtId="164" fontId="7" fillId="0" borderId="0" xfId="1" applyFont="1" applyFill="1" applyBorder="1"/>
    <xf numFmtId="0" fontId="7" fillId="0" borderId="0" xfId="0" applyFont="1" applyAlignment="1">
      <alignment horizontal="center"/>
    </xf>
    <xf numFmtId="164" fontId="4" fillId="0" borderId="0" xfId="1" applyFont="1"/>
    <xf numFmtId="49" fontId="12" fillId="0" borderId="6" xfId="0" quotePrefix="1" applyNumberFormat="1" applyFont="1" applyBorder="1" applyAlignment="1">
      <alignment horizontal="center" vertical="top"/>
    </xf>
    <xf numFmtId="0" fontId="7" fillId="0" borderId="0" xfId="8" applyFont="1"/>
    <xf numFmtId="164" fontId="7" fillId="0" borderId="0" xfId="10" applyFont="1" applyBorder="1" applyAlignment="1">
      <alignment horizontal="center"/>
    </xf>
    <xf numFmtId="0" fontId="1" fillId="0" borderId="0" xfId="60" applyFont="1"/>
    <xf numFmtId="0" fontId="7" fillId="0" borderId="2" xfId="0" applyFont="1" applyBorder="1" applyAlignment="1">
      <alignment vertical="top" wrapText="1"/>
    </xf>
    <xf numFmtId="0" fontId="18" fillId="0" borderId="0" xfId="33" applyFont="1"/>
    <xf numFmtId="0" fontId="19" fillId="4" borderId="19" xfId="7" applyFont="1" applyFill="1" applyBorder="1"/>
    <xf numFmtId="0" fontId="19" fillId="4" borderId="0" xfId="7" applyFont="1" applyFill="1"/>
    <xf numFmtId="0" fontId="19" fillId="4" borderId="20" xfId="7" applyFont="1" applyFill="1" applyBorder="1"/>
    <xf numFmtId="0" fontId="20" fillId="4" borderId="21" xfId="7" applyFont="1" applyFill="1" applyBorder="1"/>
    <xf numFmtId="0" fontId="20" fillId="4" borderId="22" xfId="7" applyFont="1" applyFill="1" applyBorder="1"/>
    <xf numFmtId="0" fontId="20" fillId="4" borderId="23" xfId="7" applyFont="1" applyFill="1" applyBorder="1"/>
    <xf numFmtId="0" fontId="21" fillId="4" borderId="16" xfId="7" applyFont="1" applyFill="1" applyBorder="1"/>
    <xf numFmtId="0" fontId="21" fillId="4" borderId="17" xfId="7" applyFont="1" applyFill="1" applyBorder="1"/>
    <xf numFmtId="0" fontId="21" fillId="4" borderId="18" xfId="7" applyFont="1" applyFill="1" applyBorder="1"/>
    <xf numFmtId="0" fontId="21" fillId="4" borderId="21" xfId="7" applyFont="1" applyFill="1" applyBorder="1"/>
    <xf numFmtId="0" fontId="21" fillId="4" borderId="22" xfId="7" applyFont="1" applyFill="1" applyBorder="1"/>
    <xf numFmtId="0" fontId="21" fillId="4" borderId="23" xfId="7" applyFont="1" applyFill="1" applyBorder="1"/>
    <xf numFmtId="0" fontId="21" fillId="4" borderId="16" xfId="7" applyFont="1" applyFill="1" applyBorder="1" applyAlignment="1">
      <alignment horizontal="center"/>
    </xf>
    <xf numFmtId="0" fontId="21" fillId="4" borderId="17" xfId="7" applyFont="1" applyFill="1" applyBorder="1" applyAlignment="1">
      <alignment horizontal="center"/>
    </xf>
    <xf numFmtId="0" fontId="21" fillId="4" borderId="18" xfId="7" applyFont="1" applyFill="1" applyBorder="1" applyAlignment="1">
      <alignment horizontal="center"/>
    </xf>
    <xf numFmtId="0" fontId="23" fillId="0" borderId="0" xfId="33" applyFont="1"/>
    <xf numFmtId="0" fontId="21" fillId="4" borderId="21" xfId="7" applyFont="1" applyFill="1" applyBorder="1" applyAlignment="1">
      <alignment horizontal="center"/>
    </xf>
    <xf numFmtId="0" fontId="21" fillId="4" borderId="22" xfId="7" applyFont="1" applyFill="1" applyBorder="1" applyAlignment="1">
      <alignment horizontal="center"/>
    </xf>
    <xf numFmtId="0" fontId="21" fillId="4" borderId="23" xfId="7" applyFont="1" applyFill="1" applyBorder="1" applyAlignment="1">
      <alignment horizontal="center"/>
    </xf>
    <xf numFmtId="0" fontId="24" fillId="0" borderId="0" xfId="33" applyFont="1"/>
    <xf numFmtId="0" fontId="20" fillId="4" borderId="16" xfId="7" applyFont="1" applyFill="1" applyBorder="1" applyAlignment="1">
      <alignment horizontal="left"/>
    </xf>
    <xf numFmtId="0" fontId="20" fillId="4" borderId="17" xfId="7" applyFont="1" applyFill="1" applyBorder="1" applyAlignment="1">
      <alignment horizontal="left"/>
    </xf>
    <xf numFmtId="0" fontId="20" fillId="4" borderId="18" xfId="7" applyFont="1" applyFill="1" applyBorder="1" applyAlignment="1">
      <alignment horizontal="left"/>
    </xf>
    <xf numFmtId="0" fontId="19" fillId="4" borderId="19" xfId="7" applyFont="1" applyFill="1" applyBorder="1" applyAlignment="1">
      <alignment horizontal="left"/>
    </xf>
    <xf numFmtId="0" fontId="19" fillId="4" borderId="0" xfId="7" applyFont="1" applyFill="1" applyAlignment="1">
      <alignment horizontal="left"/>
    </xf>
    <xf numFmtId="0" fontId="19" fillId="4" borderId="20" xfId="7" applyFont="1" applyFill="1" applyBorder="1" applyAlignment="1">
      <alignment horizontal="left"/>
    </xf>
    <xf numFmtId="0" fontId="24" fillId="0" borderId="0" xfId="33" applyFont="1" applyAlignment="1">
      <alignment wrapText="1"/>
    </xf>
    <xf numFmtId="0" fontId="20" fillId="0" borderId="0" xfId="62" applyFont="1" applyAlignment="1">
      <alignment vertical="top" wrapText="1"/>
    </xf>
    <xf numFmtId="0" fontId="27" fillId="0" borderId="0" xfId="62" applyFont="1" applyAlignment="1">
      <alignment vertical="top"/>
    </xf>
    <xf numFmtId="0" fontId="18" fillId="0" borderId="0" xfId="62" applyFont="1" applyAlignment="1">
      <alignment vertical="top" wrapText="1"/>
    </xf>
    <xf numFmtId="0" fontId="27" fillId="0" borderId="0" xfId="62" applyFont="1" applyAlignment="1">
      <alignment vertical="top" wrapText="1"/>
    </xf>
    <xf numFmtId="164" fontId="14" fillId="0" borderId="0" xfId="10" applyFont="1" applyBorder="1" applyAlignment="1">
      <alignment horizontal="center"/>
    </xf>
    <xf numFmtId="0" fontId="6" fillId="0" borderId="15" xfId="8" applyFont="1" applyBorder="1" applyAlignment="1">
      <alignment vertical="center" wrapText="1"/>
    </xf>
    <xf numFmtId="0" fontId="7" fillId="0" borderId="15" xfId="8" applyFont="1" applyBorder="1" applyAlignment="1">
      <alignment horizontal="center" vertical="center"/>
    </xf>
    <xf numFmtId="0" fontId="7" fillId="0" borderId="6" xfId="8" applyFont="1" applyBorder="1" applyAlignment="1">
      <alignment horizontal="center" vertical="center"/>
    </xf>
    <xf numFmtId="1" fontId="7" fillId="0" borderId="15" xfId="8" applyNumberFormat="1" applyFont="1" applyBorder="1" applyAlignment="1">
      <alignment horizontal="center" vertical="center"/>
    </xf>
    <xf numFmtId="164" fontId="7" fillId="0" borderId="15" xfId="55" applyFont="1" applyBorder="1" applyAlignment="1">
      <alignment horizontal="center" vertical="center"/>
    </xf>
    <xf numFmtId="164" fontId="7" fillId="0" borderId="6" xfId="10" applyFont="1" applyFill="1" applyBorder="1" applyAlignment="1">
      <alignment horizontal="center" vertical="center"/>
    </xf>
    <xf numFmtId="4" fontId="7" fillId="0" borderId="15" xfId="8" applyNumberFormat="1" applyFont="1" applyBorder="1" applyAlignment="1">
      <alignment horizontal="center" vertical="center"/>
    </xf>
    <xf numFmtId="167" fontId="7" fillId="0" borderId="6" xfId="10" applyNumberFormat="1" applyFont="1" applyFill="1" applyBorder="1" applyAlignment="1">
      <alignment horizontal="center" vertical="center"/>
    </xf>
    <xf numFmtId="0" fontId="31" fillId="0" borderId="5" xfId="8" applyFont="1" applyBorder="1" applyAlignment="1">
      <alignment horizontal="center" vertical="center"/>
    </xf>
    <xf numFmtId="1" fontId="31" fillId="0" borderId="5" xfId="8" applyNumberFormat="1" applyFont="1" applyBorder="1" applyAlignment="1">
      <alignment horizontal="center" vertical="center"/>
    </xf>
    <xf numFmtId="4" fontId="31" fillId="0" borderId="5" xfId="8" applyNumberFormat="1" applyFont="1" applyBorder="1" applyAlignment="1">
      <alignment horizontal="center" vertical="center"/>
    </xf>
    <xf numFmtId="0" fontId="31" fillId="0" borderId="0" xfId="0" applyFont="1"/>
    <xf numFmtId="4" fontId="29" fillId="5" borderId="28" xfId="0" applyNumberFormat="1" applyFont="1" applyFill="1" applyBorder="1" applyAlignment="1">
      <alignment horizontal="center" vertical="center"/>
    </xf>
    <xf numFmtId="164" fontId="29" fillId="0" borderId="26" xfId="0" applyNumberFormat="1" applyFont="1" applyBorder="1" applyAlignment="1">
      <alignment horizontal="center" vertical="center"/>
    </xf>
    <xf numFmtId="164" fontId="29" fillId="0" borderId="27" xfId="0" applyNumberFormat="1" applyFont="1" applyBorder="1" applyAlignment="1">
      <alignment horizontal="center" vertical="center"/>
    </xf>
    <xf numFmtId="0" fontId="33" fillId="0" borderId="0" xfId="50" applyFont="1" applyAlignment="1">
      <alignment vertical="center"/>
    </xf>
    <xf numFmtId="164" fontId="29" fillId="0" borderId="0" xfId="50" applyNumberFormat="1" applyFont="1" applyAlignment="1">
      <alignment vertical="center"/>
    </xf>
    <xf numFmtId="0" fontId="1" fillId="0" borderId="0" xfId="50"/>
    <xf numFmtId="4" fontId="29" fillId="0" borderId="0" xfId="50" applyNumberFormat="1" applyFont="1" applyAlignment="1">
      <alignment horizontal="right"/>
    </xf>
    <xf numFmtId="0" fontId="29" fillId="0" borderId="0" xfId="50" applyFont="1"/>
    <xf numFmtId="164" fontId="29" fillId="0" borderId="0" xfId="50" applyNumberFormat="1" applyFont="1" applyAlignment="1">
      <alignment horizontal="center"/>
    </xf>
    <xf numFmtId="0" fontId="33" fillId="0" borderId="0" xfId="0" applyFont="1" applyAlignment="1">
      <alignment vertical="center"/>
    </xf>
    <xf numFmtId="164" fontId="29" fillId="0" borderId="0" xfId="0" applyNumberFormat="1" applyFont="1" applyAlignment="1">
      <alignment vertical="center"/>
    </xf>
    <xf numFmtId="0" fontId="6" fillId="0" borderId="30" xfId="8" applyFont="1" applyBorder="1" applyAlignment="1">
      <alignment vertical="center" wrapText="1"/>
    </xf>
    <xf numFmtId="0" fontId="12" fillId="0" borderId="3" xfId="0" applyFont="1" applyBorder="1" applyAlignment="1">
      <alignment horizontal="right" vertical="center"/>
    </xf>
    <xf numFmtId="165" fontId="7" fillId="0" borderId="3" xfId="0" applyNumberFormat="1" applyFont="1" applyBorder="1" applyAlignment="1">
      <alignment horizontal="left"/>
    </xf>
    <xf numFmtId="0" fontId="29" fillId="0" borderId="0" xfId="0" applyFont="1"/>
    <xf numFmtId="0" fontId="12" fillId="0" borderId="6" xfId="0" applyFont="1" applyBorder="1" applyAlignment="1">
      <alignment horizontal="left" vertical="top"/>
    </xf>
    <xf numFmtId="0" fontId="29" fillId="0" borderId="29" xfId="0" applyFont="1" applyBorder="1" applyAlignment="1">
      <alignment horizontal="center"/>
    </xf>
    <xf numFmtId="0" fontId="29" fillId="0" borderId="29" xfId="0" applyFont="1" applyBorder="1" applyAlignment="1">
      <alignment vertical="top" wrapText="1"/>
    </xf>
    <xf numFmtId="0" fontId="35" fillId="0" borderId="0" xfId="0" applyFont="1"/>
    <xf numFmtId="49" fontId="12" fillId="3" borderId="3" xfId="0" applyNumberFormat="1" applyFont="1" applyFill="1" applyBorder="1" applyAlignment="1">
      <alignment horizontal="center" vertical="top" wrapText="1"/>
    </xf>
    <xf numFmtId="0" fontId="7" fillId="0" borderId="14" xfId="0" applyFont="1" applyBorder="1" applyAlignment="1">
      <alignment horizontal="center" vertical="center"/>
    </xf>
    <xf numFmtId="49" fontId="29" fillId="0" borderId="29" xfId="0" applyNumberFormat="1" applyFont="1" applyBorder="1" applyAlignment="1">
      <alignment horizontal="center" vertical="top" wrapText="1"/>
    </xf>
    <xf numFmtId="0" fontId="12" fillId="0" borderId="6" xfId="29" applyFont="1" applyBorder="1" applyAlignment="1">
      <alignment horizontal="center" vertical="top"/>
    </xf>
    <xf numFmtId="0" fontId="7" fillId="0" borderId="1" xfId="0" applyFont="1" applyBorder="1" applyAlignment="1">
      <alignment horizontal="center" vertical="center"/>
    </xf>
    <xf numFmtId="165" fontId="7" fillId="0" borderId="6" xfId="0" applyNumberFormat="1" applyFont="1" applyBorder="1" applyAlignment="1">
      <alignment horizontal="left" vertical="top"/>
    </xf>
    <xf numFmtId="49" fontId="12" fillId="0" borderId="3" xfId="0" quotePrefix="1" applyNumberFormat="1" applyFont="1" applyBorder="1" applyAlignment="1">
      <alignment horizontal="right" vertical="top"/>
    </xf>
    <xf numFmtId="49" fontId="29" fillId="0" borderId="26" xfId="0" applyNumberFormat="1" applyFont="1" applyBorder="1" applyAlignment="1">
      <alignment horizontal="center" vertical="top" wrapText="1"/>
    </xf>
    <xf numFmtId="0" fontId="29" fillId="0" borderId="32" xfId="0" applyFont="1" applyBorder="1" applyAlignment="1">
      <alignment horizontal="left" vertical="top" wrapText="1"/>
    </xf>
    <xf numFmtId="0" fontId="29" fillId="0" borderId="29" xfId="0" applyFont="1" applyBorder="1" applyAlignment="1">
      <alignment horizontal="center" vertical="top"/>
    </xf>
    <xf numFmtId="164" fontId="29" fillId="0" borderId="0" xfId="0" applyNumberFormat="1" applyFont="1" applyAlignment="1">
      <alignment horizontal="center"/>
    </xf>
    <xf numFmtId="49" fontId="30" fillId="0" borderId="26" xfId="0" quotePrefix="1" applyNumberFormat="1" applyFont="1" applyBorder="1" applyAlignment="1">
      <alignment horizontal="center" vertical="top"/>
    </xf>
    <xf numFmtId="0" fontId="30" fillId="0" borderId="32" xfId="0" applyFont="1" applyBorder="1" applyAlignment="1">
      <alignment horizontal="left" vertical="center"/>
    </xf>
    <xf numFmtId="165" fontId="29" fillId="0" borderId="29" xfId="0" applyNumberFormat="1" applyFont="1" applyBorder="1" applyAlignment="1">
      <alignment horizontal="left"/>
    </xf>
    <xf numFmtId="0" fontId="30" fillId="0" borderId="0" xfId="0" applyFont="1" applyAlignment="1">
      <alignment horizontal="left"/>
    </xf>
    <xf numFmtId="0" fontId="30" fillId="0" borderId="26" xfId="0" quotePrefix="1" applyFont="1" applyBorder="1" applyAlignment="1">
      <alignment horizontal="center" vertical="top"/>
    </xf>
    <xf numFmtId="49" fontId="30" fillId="0" borderId="33" xfId="0" applyNumberFormat="1" applyFont="1" applyBorder="1" applyAlignment="1">
      <alignment horizontal="left" vertical="top"/>
    </xf>
    <xf numFmtId="0" fontId="29" fillId="0" borderId="34" xfId="0" applyFont="1" applyBorder="1" applyAlignment="1">
      <alignment horizontal="left" vertical="top" wrapText="1"/>
    </xf>
    <xf numFmtId="165" fontId="29" fillId="0" borderId="35" xfId="0" applyNumberFormat="1" applyFont="1" applyBorder="1" applyAlignment="1">
      <alignment horizontal="left"/>
    </xf>
    <xf numFmtId="49" fontId="30" fillId="0" borderId="33" xfId="0" quotePrefix="1" applyNumberFormat="1" applyFont="1" applyBorder="1" applyAlignment="1">
      <alignment horizontal="right" vertical="top"/>
    </xf>
    <xf numFmtId="0" fontId="30" fillId="0" borderId="34" xfId="0" applyFont="1" applyBorder="1" applyAlignment="1">
      <alignment horizontal="left" vertical="center" wrapText="1"/>
    </xf>
    <xf numFmtId="165" fontId="30" fillId="0" borderId="35" xfId="0" applyNumberFormat="1" applyFont="1" applyBorder="1" applyAlignment="1">
      <alignment horizontal="left"/>
    </xf>
    <xf numFmtId="49" fontId="29" fillId="0" borderId="33" xfId="0" quotePrefix="1" applyNumberFormat="1" applyFont="1" applyBorder="1" applyAlignment="1">
      <alignment horizontal="right" vertical="top"/>
    </xf>
    <xf numFmtId="0" fontId="29" fillId="0" borderId="0" xfId="0" applyFont="1" applyAlignment="1">
      <alignment horizontal="left"/>
    </xf>
    <xf numFmtId="164" fontId="29" fillId="0" borderId="0" xfId="0" applyNumberFormat="1" applyFont="1" applyAlignment="1">
      <alignment horizontal="left"/>
    </xf>
    <xf numFmtId="0" fontId="7" fillId="0" borderId="38" xfId="0" applyFont="1" applyBorder="1" applyAlignment="1">
      <alignment horizontal="left" vertical="top" wrapText="1"/>
    </xf>
    <xf numFmtId="0" fontId="7" fillId="0" borderId="6" xfId="29" applyFont="1" applyBorder="1" applyAlignment="1">
      <alignment horizontal="center" vertical="top"/>
    </xf>
    <xf numFmtId="164" fontId="12" fillId="0" borderId="6" xfId="1" applyFont="1" applyFill="1" applyBorder="1" applyAlignment="1" applyProtection="1">
      <alignment horizontal="center" vertical="center"/>
    </xf>
    <xf numFmtId="164" fontId="12" fillId="0" borderId="6" xfId="1" applyFont="1" applyFill="1" applyBorder="1" applyAlignment="1">
      <alignment horizontal="center" vertical="center"/>
    </xf>
    <xf numFmtId="164" fontId="7" fillId="0" borderId="6" xfId="1" applyFont="1" applyFill="1" applyBorder="1" applyAlignment="1">
      <alignment horizontal="center" vertical="center"/>
    </xf>
    <xf numFmtId="164" fontId="7" fillId="0" borderId="2" xfId="1" applyFont="1" applyFill="1" applyBorder="1" applyAlignment="1">
      <alignment horizontal="center" vertical="center" wrapText="1"/>
    </xf>
    <xf numFmtId="164" fontId="7" fillId="0" borderId="6" xfId="1" applyFont="1" applyFill="1" applyBorder="1" applyAlignment="1">
      <alignment horizontal="center" vertical="center" wrapText="1"/>
    </xf>
    <xf numFmtId="164" fontId="12" fillId="0" borderId="3" xfId="1" applyFont="1" applyFill="1" applyBorder="1" applyAlignment="1" applyProtection="1">
      <alignment horizontal="center" vertical="center"/>
    </xf>
    <xf numFmtId="164" fontId="12" fillId="0" borderId="3" xfId="1" applyFont="1" applyFill="1" applyBorder="1" applyAlignment="1">
      <alignment horizontal="center" vertical="center"/>
    </xf>
    <xf numFmtId="164" fontId="30" fillId="0" borderId="29" xfId="0" applyNumberFormat="1" applyFont="1" applyBorder="1" applyAlignment="1">
      <alignment horizontal="center" vertical="center"/>
    </xf>
    <xf numFmtId="164" fontId="30" fillId="0" borderId="35" xfId="0" applyNumberFormat="1" applyFont="1" applyBorder="1" applyAlignment="1">
      <alignment horizontal="center" vertical="center"/>
    </xf>
    <xf numFmtId="164" fontId="30" fillId="0" borderId="36" xfId="0" applyNumberFormat="1" applyFont="1" applyBorder="1" applyAlignment="1">
      <alignment horizontal="center" vertical="center"/>
    </xf>
    <xf numFmtId="164" fontId="30" fillId="0" borderId="37" xfId="0" applyNumberFormat="1" applyFont="1" applyBorder="1" applyAlignment="1">
      <alignment horizontal="center" vertical="center"/>
    </xf>
    <xf numFmtId="164" fontId="29" fillId="0" borderId="35" xfId="0" applyNumberFormat="1" applyFont="1" applyBorder="1" applyAlignment="1">
      <alignment horizontal="center" vertical="center"/>
    </xf>
    <xf numFmtId="164" fontId="29" fillId="0" borderId="37" xfId="0" applyNumberFormat="1" applyFont="1" applyBorder="1" applyAlignment="1">
      <alignment horizontal="center" vertical="center"/>
    </xf>
    <xf numFmtId="164" fontId="29" fillId="0" borderId="29" xfId="0" applyNumberFormat="1" applyFont="1" applyBorder="1" applyAlignment="1">
      <alignment horizontal="center" vertical="center"/>
    </xf>
    <xf numFmtId="164" fontId="29" fillId="0" borderId="31" xfId="0" applyNumberFormat="1" applyFont="1" applyBorder="1" applyAlignment="1">
      <alignment horizontal="center" vertical="center" wrapText="1"/>
    </xf>
    <xf numFmtId="164" fontId="29" fillId="0" borderId="29" xfId="0" applyNumberFormat="1" applyFont="1" applyBorder="1" applyAlignment="1">
      <alignment horizontal="center" vertical="center" wrapText="1"/>
    </xf>
    <xf numFmtId="164" fontId="7" fillId="0" borderId="0" xfId="1" applyFont="1" applyFill="1" applyBorder="1" applyAlignment="1">
      <alignment horizontal="center" vertical="center"/>
    </xf>
    <xf numFmtId="4" fontId="29" fillId="0" borderId="28" xfId="0" applyNumberFormat="1" applyFont="1" applyBorder="1" applyAlignment="1">
      <alignment horizontal="center" vertical="center"/>
    </xf>
    <xf numFmtId="0" fontId="7" fillId="0" borderId="6" xfId="0" applyFont="1" applyBorder="1" applyAlignment="1">
      <alignment horizontal="center" vertical="center"/>
    </xf>
    <xf numFmtId="49" fontId="12" fillId="0" borderId="6" xfId="0" applyNumberFormat="1" applyFont="1" applyBorder="1" applyAlignment="1">
      <alignment horizontal="center" vertical="top"/>
    </xf>
    <xf numFmtId="0" fontId="30" fillId="0" borderId="29" xfId="0" applyFont="1" applyBorder="1" applyAlignment="1">
      <alignment vertical="top" wrapText="1"/>
    </xf>
    <xf numFmtId="49" fontId="7" fillId="0" borderId="6" xfId="0" applyNumberFormat="1" applyFont="1" applyBorder="1" applyAlignment="1">
      <alignment horizontal="center" vertical="top"/>
    </xf>
    <xf numFmtId="0" fontId="30" fillId="0" borderId="32" xfId="0" applyFont="1" applyBorder="1" applyAlignment="1">
      <alignment horizontal="left" vertical="top" wrapText="1"/>
    </xf>
    <xf numFmtId="49" fontId="30" fillId="0" borderId="26" xfId="0" applyNumberFormat="1" applyFont="1" applyBorder="1" applyAlignment="1">
      <alignment horizontal="center" vertical="top" wrapText="1"/>
    </xf>
    <xf numFmtId="0" fontId="21" fillId="4" borderId="16" xfId="7" applyFont="1" applyFill="1" applyBorder="1" applyAlignment="1">
      <alignment horizontal="center"/>
    </xf>
    <xf numFmtId="0" fontId="21" fillId="4" borderId="17" xfId="7" applyFont="1" applyFill="1" applyBorder="1" applyAlignment="1">
      <alignment horizontal="center"/>
    </xf>
    <xf numFmtId="0" fontId="21" fillId="4" borderId="19" xfId="7" applyFont="1" applyFill="1" applyBorder="1" applyAlignment="1">
      <alignment horizontal="center"/>
    </xf>
    <xf numFmtId="0" fontId="21" fillId="4" borderId="0" xfId="7" applyFont="1" applyFill="1" applyAlignment="1">
      <alignment horizontal="center"/>
    </xf>
    <xf numFmtId="0" fontId="21" fillId="4" borderId="21" xfId="7" applyFont="1" applyFill="1" applyBorder="1" applyAlignment="1">
      <alignment horizontal="center"/>
    </xf>
    <xf numFmtId="0" fontId="21" fillId="4" borderId="22" xfId="7" applyFont="1" applyFill="1" applyBorder="1" applyAlignment="1">
      <alignment horizontal="center"/>
    </xf>
    <xf numFmtId="0" fontId="25" fillId="4" borderId="19" xfId="7" applyFont="1" applyFill="1" applyBorder="1" applyAlignment="1">
      <alignment horizontal="right" vertical="center"/>
    </xf>
    <xf numFmtId="0" fontId="25" fillId="4" borderId="0" xfId="7" applyFont="1" applyFill="1" applyAlignment="1">
      <alignment horizontal="right" vertical="center"/>
    </xf>
    <xf numFmtId="0" fontId="25" fillId="4" borderId="20" xfId="7" applyFont="1" applyFill="1" applyBorder="1" applyAlignment="1">
      <alignment horizontal="right" vertical="center"/>
    </xf>
    <xf numFmtId="17" fontId="25" fillId="4" borderId="21" xfId="7" applyNumberFormat="1" applyFont="1" applyFill="1" applyBorder="1" applyAlignment="1">
      <alignment horizontal="right" vertical="center"/>
    </xf>
    <xf numFmtId="0" fontId="25" fillId="4" borderId="22" xfId="7" applyFont="1" applyFill="1" applyBorder="1" applyAlignment="1">
      <alignment horizontal="right" vertical="center"/>
    </xf>
    <xf numFmtId="0" fontId="25" fillId="4" borderId="23" xfId="7" applyFont="1" applyFill="1" applyBorder="1" applyAlignment="1">
      <alignment horizontal="right" vertical="center"/>
    </xf>
    <xf numFmtId="0" fontId="22" fillId="4" borderId="19" xfId="7" applyFont="1" applyFill="1" applyBorder="1" applyAlignment="1">
      <alignment horizontal="center"/>
    </xf>
    <xf numFmtId="0" fontId="22" fillId="4" borderId="0" xfId="7" applyFont="1" applyFill="1" applyAlignment="1">
      <alignment horizontal="center"/>
    </xf>
    <xf numFmtId="0" fontId="22" fillId="4" borderId="20" xfId="7" applyFont="1" applyFill="1" applyBorder="1" applyAlignment="1">
      <alignment horizontal="center"/>
    </xf>
    <xf numFmtId="0" fontId="17" fillId="4" borderId="16" xfId="7" applyFont="1" applyFill="1" applyBorder="1" applyAlignment="1" applyProtection="1">
      <alignment horizontal="center" wrapText="1"/>
      <protection locked="0"/>
    </xf>
    <xf numFmtId="0" fontId="17" fillId="4" borderId="17" xfId="7" applyFont="1" applyFill="1" applyBorder="1" applyAlignment="1" applyProtection="1">
      <alignment horizontal="center" wrapText="1"/>
      <protection locked="0"/>
    </xf>
    <xf numFmtId="0" fontId="17" fillId="4" borderId="18" xfId="7" applyFont="1" applyFill="1" applyBorder="1" applyAlignment="1" applyProtection="1">
      <alignment horizontal="center" wrapText="1"/>
      <protection locked="0"/>
    </xf>
    <xf numFmtId="0" fontId="17" fillId="4" borderId="19" xfId="7" applyFont="1" applyFill="1" applyBorder="1" applyAlignment="1" applyProtection="1">
      <alignment horizontal="center" wrapText="1"/>
      <protection locked="0"/>
    </xf>
    <xf numFmtId="0" fontId="17" fillId="4" borderId="0" xfId="7" applyFont="1" applyFill="1" applyAlignment="1" applyProtection="1">
      <alignment horizontal="center" wrapText="1"/>
      <protection locked="0"/>
    </xf>
    <xf numFmtId="0" fontId="17" fillId="4" borderId="20" xfId="7" applyFont="1" applyFill="1" applyBorder="1" applyAlignment="1" applyProtection="1">
      <alignment horizontal="center" wrapText="1"/>
      <protection locked="0"/>
    </xf>
    <xf numFmtId="0" fontId="19" fillId="4" borderId="19" xfId="7" applyFont="1" applyFill="1" applyBorder="1" applyAlignment="1">
      <alignment horizontal="left"/>
    </xf>
    <xf numFmtId="0" fontId="19" fillId="4" borderId="0" xfId="7" applyFont="1" applyFill="1" applyAlignment="1">
      <alignment horizontal="left"/>
    </xf>
    <xf numFmtId="0" fontId="19" fillId="4" borderId="20" xfId="7" applyFont="1" applyFill="1" applyBorder="1" applyAlignment="1">
      <alignment horizontal="left"/>
    </xf>
    <xf numFmtId="0" fontId="22" fillId="4" borderId="19" xfId="7" applyFont="1" applyFill="1" applyBorder="1" applyAlignment="1">
      <alignment horizontal="center" vertical="center" wrapText="1"/>
    </xf>
    <xf numFmtId="0" fontId="22" fillId="4" borderId="0" xfId="7" applyFont="1" applyFill="1" applyAlignment="1">
      <alignment horizontal="center" vertical="center" wrapText="1"/>
    </xf>
    <xf numFmtId="0" fontId="22" fillId="4" borderId="20" xfId="7" applyFont="1" applyFill="1" applyBorder="1" applyAlignment="1">
      <alignment horizontal="center" vertical="center" wrapText="1"/>
    </xf>
    <xf numFmtId="0" fontId="9" fillId="0" borderId="10" xfId="8" applyFont="1" applyBorder="1"/>
    <xf numFmtId="0" fontId="8" fillId="0" borderId="0" xfId="8" applyFont="1" applyAlignment="1">
      <alignment horizontal="center"/>
    </xf>
    <xf numFmtId="0" fontId="9" fillId="0" borderId="0" xfId="8" applyFont="1"/>
    <xf numFmtId="0" fontId="10" fillId="0" borderId="8" xfId="8" applyFont="1" applyBorder="1" applyAlignment="1">
      <alignment horizontal="center"/>
    </xf>
    <xf numFmtId="0" fontId="10" fillId="0" borderId="24" xfId="8" applyFont="1" applyBorder="1" applyAlignment="1">
      <alignment horizontal="center"/>
    </xf>
    <xf numFmtId="0" fontId="10" fillId="0" borderId="25" xfId="8" applyFont="1" applyBorder="1" applyAlignment="1">
      <alignment horizontal="center"/>
    </xf>
    <xf numFmtId="164" fontId="12" fillId="0" borderId="4" xfId="1" applyFont="1" applyBorder="1" applyAlignment="1">
      <alignment horizontal="center"/>
    </xf>
  </cellXfs>
  <cellStyles count="63">
    <cellStyle name="Comma" xfId="1" builtinId="3"/>
    <cellStyle name="Comma 10" xfId="10"/>
    <cellStyle name="Comma 11 2" xfId="55"/>
    <cellStyle name="Comma 12" xfId="11"/>
    <cellStyle name="Comma 18" xfId="57"/>
    <cellStyle name="Comma 2" xfId="12"/>
    <cellStyle name="Comma 2 10" xfId="13"/>
    <cellStyle name="Comma 2 11" xfId="14"/>
    <cellStyle name="Comma 2 12" xfId="53"/>
    <cellStyle name="Comma 2 2" xfId="15"/>
    <cellStyle name="Comma 2 2 2" xfId="61"/>
    <cellStyle name="Comma 2 3" xfId="16"/>
    <cellStyle name="Comma 2 4" xfId="17"/>
    <cellStyle name="Comma 2 5" xfId="18"/>
    <cellStyle name="Comma 2 6" xfId="19"/>
    <cellStyle name="Comma 2 7" xfId="20"/>
    <cellStyle name="Comma 2 8" xfId="21"/>
    <cellStyle name="Comma 2 9" xfId="22"/>
    <cellStyle name="Comma 20" xfId="56"/>
    <cellStyle name="Comma 24" xfId="58"/>
    <cellStyle name="Comma 25" xfId="59"/>
    <cellStyle name="Comma 3" xfId="2"/>
    <cellStyle name="Comma 3 2" xfId="23"/>
    <cellStyle name="Comma 4" xfId="24"/>
    <cellStyle name="Comma 4 2" xfId="25"/>
    <cellStyle name="Comma 5" xfId="26"/>
    <cellStyle name="Comma 6" xfId="27"/>
    <cellStyle name="Normal" xfId="0" builtinId="0"/>
    <cellStyle name="Normal 10" xfId="8"/>
    <cellStyle name="Normal 11" xfId="28"/>
    <cellStyle name="Normal 12" xfId="29"/>
    <cellStyle name="Normal 13" xfId="54"/>
    <cellStyle name="Normal 2" xfId="3"/>
    <cellStyle name="Normal 2 10" xfId="30"/>
    <cellStyle name="Normal 2 10 2" xfId="31"/>
    <cellStyle name="Normal 2 11" xfId="32"/>
    <cellStyle name="Normal 2 12" xfId="51"/>
    <cellStyle name="Normal 2 13" xfId="60"/>
    <cellStyle name="Normal 2 14" xfId="62"/>
    <cellStyle name="Normal 2 2" xfId="33"/>
    <cellStyle name="Normal 2 2 2 2 2" xfId="4"/>
    <cellStyle name="Normal 2 2 2 3" xfId="34"/>
    <cellStyle name="Normal 2 2 3 2" xfId="50"/>
    <cellStyle name="Normal 2 3" xfId="35"/>
    <cellStyle name="Normal 2 3 2" xfId="36"/>
    <cellStyle name="Normal 2 4" xfId="37"/>
    <cellStyle name="Normal 2 4 2" xfId="6"/>
    <cellStyle name="Normal 2 5" xfId="38"/>
    <cellStyle name="Normal 2 6" xfId="39"/>
    <cellStyle name="Normal 2 7" xfId="40"/>
    <cellStyle name="Normal 2 8" xfId="41"/>
    <cellStyle name="Normal 2 9" xfId="42"/>
    <cellStyle name="Normal 3" xfId="7"/>
    <cellStyle name="Normal 3 2" xfId="43"/>
    <cellStyle name="Normal 4" xfId="44"/>
    <cellStyle name="Normal 4 2" xfId="9"/>
    <cellStyle name="Normal 5" xfId="45"/>
    <cellStyle name="Normal 6" xfId="46"/>
    <cellStyle name="Normal 6 2" xfId="52"/>
    <cellStyle name="Normal 7" xfId="47"/>
    <cellStyle name="Normal 8" xfId="48"/>
    <cellStyle name="Normal 9" xfId="49"/>
    <cellStyle name="Normal_SUMMARY FOR PART1-3" xfId="5"/>
  </cellStyles>
  <dxfs count="0"/>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2.168.1.10/Users/Preferred%20Customer/AppData/Roaming/Microsoft/Excel/Users/Wendimu/Desktop/L-1%20Qty%20Res%20200kpa/Takeoff/L-1%20200Kpa%20Resident%20Final%20from%20Yoseph.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MANUEL-PC/Material%20Breakdown%20by%20Amanuel%20&amp;%20Hiwot%20Mar%2028-11/hiwot%20doc/files%20from%20mulat/Eyassu%202nd%20payment/E-1%20%20Blk%20132%20Res.%20payment%2006%20&amp;%201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OLLEN-SERVER/Users/Documents%20and%20Settings/User/Desktop/mekele%20lot%2021%20HOSPITALxls%2020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MANUEL-PC/Material%20Breakdown%20by%20Amanuel%20&amp;%20Hiwot%20Mar%2028-11/hiwot%20doc/Excavation%20data-re-yigletu/Excavation%20Data%20for%20stone%20masonry-RE-Yigletu,%20Jemmo%20II,%20%20(Autosaved).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TOLLEN-SERVER/Users/Users/Tsegay/Documents/Documents/TOLLEN/Mezabir%20Real%20Estate/Books%20construction/File%20for%20Teshe/SC-may2014/Users/Melu/Desktop/Users/Preferred%20Customer/Desktop/to%20payment/pay%20according%20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BOQ%20&amp;%20CBD\Gulele%20Subcity%20-CBD.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AMANUEL-PC/Material%20Breakdown%20by%20Amanuel%20&amp;%20Hiwot%20Mar%2028-11/Jemmo%20II%20%20Qty/Payment%20%20certificate%20%20to%20be%20approved/ALL%20PAYMENTS%20FINAL%20SEND/Dawit%202ND%20PAYMENT/E-2%20payment%2005%20alemnew%20new%20-%20Checked.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92.168.1.10/Users/Preferred%20Customer/AppData/Roaming/Microsoft/Excel/ALL/Amanuel%20Work/JEMMO%202/Payment%20check/Main%20Contractors/Endalemaw%20Kebede/Pay%20-03/A-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TOLLEN-SERVER/Users/Users/Tsegay/Documents/Documents/TOLLEN/Mezabir%20Real%20Estate/Books%20construction/File%20for%20Teshe/SC-may2014/Users/Melu/Desktop/Users/Preferred%20Customer/Desktop/Payment%20Gulele-02%20origina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TOLLEN-SERVER/Users/Office%20projects/Hossaina%20University%20project/Hossaina%20Payment/Hossaina%203rd,6th%20pay't/payt%205%20hossaina/Communal%20facility%20contract%20document/PRICED%20BOQ%20-%20Type%20A2%2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1B9DBD8/L-1%20Standar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MANUEL-PC/Users/Users/user/Desktop/FINISHING/RHS%20for%20all%20blocks%20(original).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TOLLEN-SERVER/Users/Office%20projects/Hossaina%20University%20project/Hossaina%20Payment/Hossaina%203rd,6th%20pay't/payt%205%20hossaina/Office%20projects/Jemmo%20Condominium%20project/Jemmo%20payment/Communal/CM%20FP%20Erimias%20Gezaheg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TOLLEN-SERVER/Users/BIRUK'S%20FILE/ADA%20BORDING%20SCHOOL/Admin%20Office/Documents%20and%20Settings/User/Desktop/mekele%20lot%2021%20HOSPITALxls%20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AMANUEL-PC/Material%20Breakdown%20by%20Amanuel%20&amp;%20Hiwot%20Mar%2028-11/Documents%20and%20Settings/User.USER-97E8F5706C/Desktop/Top%20tie%20beam/E2%20200%20kpa%20Residence%20Kaleab%20Pay%2006.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PC2/Users/Public/print/&#160;/Payment/Interim%20payment/Pay%20No-1/Takeoff/BoQ%20A%20Addis%20Ketem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192.168.1.10/Users/Preferred%20Customer/AppData/Roaming/Microsoft/Excel/ALL/Amanuel%20Work/JEMMO%202/Payment%20check/Main%20Contractors/Abiyot%20Solomon/Pay%20-%2001/A-2%20300Kpa%20Pay-05%20Abiyot.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TOLLEN-SERVER/Users/Users/Micky%20A/Desktop/Users/Amanuel/Desktop/A-2%20Resi%20with%20diam%2016mm%20200KPA.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AMANUEL-PC/Material%20Breakdown%20by%20Amanuel%20&amp;%20Hiwot%20Mar%2028-11/Amanuel%20Work/Yeka%20Ayat%20Condominum/Material%20required%20Feb%20,2011/Material%20Breakdown%20by%20Amanuel%20&amp;%20Hiwot%20Mar%2028-11/E-1%20Qty%20Res%20200kpa/Takeoff/L-1%20truss%20Qty%20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AMANUEL-PC/Material%20Breakdown%20by%20Amanuel%20&amp;%20Hiwot%20Mar%2028-11/hiwot%20doc/list%20of%20contractors%20and%20details/HELEN%20H.MARIAM/Helen%20H.mariam%20E1%20300%20kpa%20final%20shop.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AMANUEL-PC/Material%20Breakdown%20by%20Amanuel%20&amp;%20Hiwot%20Mar%2028-11/hiwot%20doc/Excavation%20data-re-yigletu/Excavation%20Data%20From%20site%20ins+re-yigletu,%20Jemmo%20II,%20%20(Autosaved).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ALEX-PC/Users/hiwot%20doc/list%20of%20contractors%20and%20details/YOKA%20CONSTRUCTION/Yoka%20cosntruction%20payment%206%20to%208/A-2%20300kpa-payment-6%20TO%208%20%20yoka%20r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9429408/L-1%20200Kpa%20Resident.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Aec-server/bceom/Harar%20Jijjiga/BCEOM%20Reports/EngEst/HJprelim%20Cost%20Est/BILLS~HJ(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TOLLEN-SERVER/Users/Documents%20and%20Settings/Administrator/My%20Documents/MASTER%20MODEL%20and%20trafo%20reports/Users/FITCHE/HALIMAKW.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TOLLEN-SERVER/Users/Users/Tsegay/Documents/Documents/TOLLEN/Mezabir%20Real%20Estate/Books%20construction/to%20payment/pay%20according%20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MANUEL-PC/Users/Users/user/Desktop/FINISHING/Getent%20Ayehu%20B.C%20Final%20payment%2008/A-2%20Blk%2082%20300kpa-payment-08%20Getent%20Ayehu%20B.C%20r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MANUEL-PC/Material%20Breakdown%20by%20Amanuel%20&amp;%20Hiwot%20Mar%2028-11/hiwot%20doc/list%20of%20contractors%20and%20details/BEHAILU%20YESEGATE/Behailu%20Y.%20final%20%20%20payment%20No%201%20to%2010/E-1%20200Kpa%20Pay-08%20withoutshop%20for%20Behailu%20Y..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MANUEL-PC/Material%20Breakdown%20by%20Amanuel%20&amp;%20Hiwot%20Mar%2028-11/hiwot%20doc/list%20of%20contractors%20and%20details/ESHETU%20YIRDAW/Eshetu%20Yirdaw%20payment%2008%20final/E-1%20200Kpa%20Pay-08%20withoutshop%20Eshetu%20Yirdaw.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mail.ethionet.et/~projects/ayat/inprocess/308m2/BLOCK3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MANUEL-PC/Material%20Breakdown%20by%20Amanuel%20&amp;%20Hiwot%20Mar%2028-11/hiwot%20doc/list%20of%20contractors%20and%20details/TADESSE%20SHIKUR/Tadesse%20S.%20final%202%20Payment%2008/E-2%20payment%2008%20Tadesse%20S.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92.168.1.10/Users/Preferred%20Customer/AppData/Roaming/Microsoft/Excel/Documents%20and%20Settings/Administrator/Application%20Data/Microsoft/Excel/Daniel%20Tessera%20G.C%20E2%20500/2nd%20pay/500kp%20E-2%20Res%20BLK%202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 -1  sub R-bar for 200Kpa "/>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Structure BC = 300"/>
      <sheetName val="Roofing"/>
      <sheetName val="E-1 300kp Res. Sup St."/>
      <sheetName val="Pay-Certeficate (2)"/>
      <sheetName val="Pay-Certeficate"/>
      <sheetName val="Total Block summary "/>
      <sheetName val="Block Summary"/>
      <sheetName val="Summary"/>
      <sheetName val="Ar &amp; St"/>
      <sheetName val="RB E-1 300kp Res. Super St."/>
      <sheetName val="E-1 Plate Qty"/>
      <sheetName val="Plastering for Res."/>
      <sheetName val="Truss"/>
      <sheetName val="Latice Purlin "/>
    </sheetNames>
    <sheetDataSet>
      <sheetData sheetId="0" refreshError="1">
        <row r="7">
          <cell r="H7" t="str">
            <v>Previous Qty</v>
          </cell>
          <cell r="I7" t="str">
            <v xml:space="preserve">Current Qty </v>
          </cell>
        </row>
        <row r="10">
          <cell r="H10">
            <v>440.45</v>
          </cell>
        </row>
        <row r="11">
          <cell r="H11">
            <v>176.18</v>
          </cell>
        </row>
        <row r="12">
          <cell r="H12">
            <v>39.78</v>
          </cell>
        </row>
        <row r="13">
          <cell r="H13">
            <v>227.28</v>
          </cell>
        </row>
        <row r="14">
          <cell r="H14">
            <v>136.67999999999998</v>
          </cell>
        </row>
        <row r="15">
          <cell r="H15">
            <v>289.39999999999992</v>
          </cell>
        </row>
        <row r="16">
          <cell r="H16">
            <v>30.839999999999996</v>
          </cell>
        </row>
        <row r="17">
          <cell r="H17">
            <v>196.02</v>
          </cell>
        </row>
        <row r="18">
          <cell r="H18">
            <v>0</v>
          </cell>
        </row>
        <row r="19">
          <cell r="H19">
            <v>668.00999999999988</v>
          </cell>
        </row>
        <row r="20">
          <cell r="H20">
            <v>280.75</v>
          </cell>
        </row>
        <row r="21">
          <cell r="H21">
            <v>2485.3899999999994</v>
          </cell>
        </row>
        <row r="31">
          <cell r="H31">
            <v>94.8</v>
          </cell>
        </row>
        <row r="32">
          <cell r="H32">
            <v>41.78</v>
          </cell>
        </row>
        <row r="33">
          <cell r="H33">
            <v>19.799999999999997</v>
          </cell>
        </row>
        <row r="34">
          <cell r="H34">
            <v>280.75</v>
          </cell>
        </row>
        <row r="36">
          <cell r="H36">
            <v>61.279999999999994</v>
          </cell>
        </row>
        <row r="37">
          <cell r="H37">
            <v>6.16</v>
          </cell>
        </row>
        <row r="38">
          <cell r="H38">
            <v>15.699999999999998</v>
          </cell>
        </row>
        <row r="39">
          <cell r="H39">
            <v>280.75</v>
          </cell>
        </row>
        <row r="40">
          <cell r="H40">
            <v>292.64</v>
          </cell>
        </row>
        <row r="42">
          <cell r="H42">
            <v>119.36</v>
          </cell>
        </row>
        <row r="43">
          <cell r="H43">
            <v>77.449999999999989</v>
          </cell>
        </row>
        <row r="44">
          <cell r="H44">
            <v>152.73999999999998</v>
          </cell>
        </row>
        <row r="46">
          <cell r="H46">
            <v>639.67999999999995</v>
          </cell>
        </row>
        <row r="47">
          <cell r="H47">
            <v>735.97</v>
          </cell>
        </row>
        <row r="48">
          <cell r="H48">
            <v>0</v>
          </cell>
        </row>
        <row r="49">
          <cell r="H49">
            <v>1058.6300000000001</v>
          </cell>
        </row>
        <row r="50">
          <cell r="H50">
            <v>2131.21</v>
          </cell>
        </row>
        <row r="51">
          <cell r="H51">
            <v>546.13</v>
          </cell>
        </row>
        <row r="52">
          <cell r="H52">
            <v>1502.65</v>
          </cell>
        </row>
        <row r="53">
          <cell r="H53">
            <v>8057.48</v>
          </cell>
        </row>
        <row r="55">
          <cell r="H55">
            <v>39.879999999999995</v>
          </cell>
        </row>
        <row r="56">
          <cell r="H56">
            <v>7.21</v>
          </cell>
        </row>
        <row r="57">
          <cell r="H57">
            <v>47.089999999999996</v>
          </cell>
        </row>
      </sheetData>
      <sheetData sheetId="1" refreshError="1">
        <row r="1">
          <cell r="B1" t="str">
            <v>Project: Low Cost Housing Development Project</v>
          </cell>
        </row>
        <row r="2">
          <cell r="B2" t="str">
            <v>Location: Jemmo II</v>
          </cell>
        </row>
        <row r="3">
          <cell r="B3" t="str">
            <v>Client: Nifasilk Lafto Sub-City</v>
          </cell>
        </row>
        <row r="4">
          <cell r="B4" t="str">
            <v>Contractor: Eyassu Belete B.C.</v>
          </cell>
        </row>
        <row r="5">
          <cell r="B5" t="str">
            <v>Consultant: MGM Consult PLC</v>
          </cell>
        </row>
        <row r="6">
          <cell r="A6" t="str">
            <v>Code</v>
          </cell>
          <cell r="B6" t="str">
            <v>Timizing</v>
          </cell>
          <cell r="E6" t="str">
            <v>Dimension</v>
          </cell>
          <cell r="F6" t="str">
            <v>Qty</v>
          </cell>
        </row>
        <row r="9">
          <cell r="B9">
            <v>1</v>
          </cell>
          <cell r="C9">
            <v>1</v>
          </cell>
          <cell r="D9">
            <v>1</v>
          </cell>
          <cell r="E9">
            <v>33.72</v>
          </cell>
        </row>
        <row r="10">
          <cell r="E10">
            <v>10.6</v>
          </cell>
        </row>
        <row r="11">
          <cell r="F11">
            <v>357.43</v>
          </cell>
        </row>
        <row r="12">
          <cell r="B12">
            <v>1</v>
          </cell>
          <cell r="C12">
            <v>1</v>
          </cell>
          <cell r="D12">
            <v>2</v>
          </cell>
          <cell r="E12">
            <v>6.45</v>
          </cell>
        </row>
        <row r="13">
          <cell r="E13">
            <v>1.33</v>
          </cell>
        </row>
        <row r="14">
          <cell r="F14">
            <v>17.16</v>
          </cell>
        </row>
        <row r="15">
          <cell r="A15" t="str">
            <v>C3.1</v>
          </cell>
          <cell r="F15">
            <v>374.59000000000003</v>
          </cell>
        </row>
        <row r="18">
          <cell r="B18">
            <v>1</v>
          </cell>
          <cell r="C18">
            <v>1</v>
          </cell>
          <cell r="D18">
            <v>2</v>
          </cell>
          <cell r="E18">
            <v>33.72</v>
          </cell>
        </row>
        <row r="19">
          <cell r="F19">
            <v>67.44</v>
          </cell>
        </row>
        <row r="20">
          <cell r="B20">
            <v>1</v>
          </cell>
          <cell r="C20">
            <v>1</v>
          </cell>
          <cell r="D20">
            <v>2</v>
          </cell>
          <cell r="E20">
            <v>10.61</v>
          </cell>
        </row>
        <row r="21">
          <cell r="F21">
            <v>21.22</v>
          </cell>
        </row>
        <row r="22">
          <cell r="B22">
            <v>1</v>
          </cell>
          <cell r="C22">
            <v>1</v>
          </cell>
          <cell r="D22">
            <v>4</v>
          </cell>
          <cell r="E22">
            <v>1.33</v>
          </cell>
        </row>
        <row r="23">
          <cell r="F23">
            <v>5.32</v>
          </cell>
        </row>
        <row r="24">
          <cell r="A24" t="str">
            <v>C3.2</v>
          </cell>
          <cell r="F24">
            <v>93.97999999999999</v>
          </cell>
        </row>
        <row r="31">
          <cell r="A31" t="str">
            <v>C3.3</v>
          </cell>
        </row>
        <row r="34">
          <cell r="B34">
            <v>1</v>
          </cell>
          <cell r="C34">
            <v>1</v>
          </cell>
          <cell r="D34">
            <v>1</v>
          </cell>
          <cell r="E34">
            <v>22.22</v>
          </cell>
        </row>
        <row r="35">
          <cell r="F35">
            <v>22.22</v>
          </cell>
        </row>
        <row r="36">
          <cell r="B36">
            <v>1</v>
          </cell>
          <cell r="C36">
            <v>1</v>
          </cell>
          <cell r="D36">
            <v>2</v>
          </cell>
          <cell r="E36">
            <v>8.458503677008256</v>
          </cell>
        </row>
        <row r="37">
          <cell r="F37">
            <v>16.920000000000002</v>
          </cell>
        </row>
        <row r="38">
          <cell r="B38">
            <v>1</v>
          </cell>
          <cell r="C38">
            <v>1</v>
          </cell>
          <cell r="D38">
            <v>2</v>
          </cell>
          <cell r="E38">
            <v>7.5142033722579642</v>
          </cell>
        </row>
        <row r="39">
          <cell r="F39">
            <v>15.03</v>
          </cell>
        </row>
        <row r="40">
          <cell r="B40">
            <v>1</v>
          </cell>
          <cell r="C40">
            <v>1</v>
          </cell>
          <cell r="D40">
            <v>4</v>
          </cell>
          <cell r="E40">
            <v>5.7871938484923637</v>
          </cell>
        </row>
        <row r="41">
          <cell r="F41">
            <v>23.15</v>
          </cell>
        </row>
        <row r="42">
          <cell r="B42">
            <v>1</v>
          </cell>
          <cell r="C42">
            <v>1</v>
          </cell>
          <cell r="D42">
            <v>4</v>
          </cell>
          <cell r="E42">
            <v>4.6852596176569508</v>
          </cell>
        </row>
        <row r="43">
          <cell r="F43">
            <v>18.739999999999998</v>
          </cell>
        </row>
        <row r="44">
          <cell r="A44" t="str">
            <v>C3.4</v>
          </cell>
          <cell r="F44">
            <v>96.059999999999988</v>
          </cell>
        </row>
      </sheetData>
      <sheetData sheetId="2" refreshError="1">
        <row r="1">
          <cell r="B1" t="str">
            <v>Project: Low Cost Housing Development Project</v>
          </cell>
        </row>
        <row r="2">
          <cell r="B2" t="str">
            <v>Location: Jemmo II</v>
          </cell>
        </row>
        <row r="3">
          <cell r="B3" t="str">
            <v>Client: Nifasilk Lafto Sub-City</v>
          </cell>
        </row>
        <row r="4">
          <cell r="B4" t="str">
            <v>Contractor: Eyassu Belete B.C.</v>
          </cell>
        </row>
        <row r="5">
          <cell r="B5" t="str">
            <v>Consultant: MGM Consult PLC</v>
          </cell>
        </row>
        <row r="6">
          <cell r="A6" t="str">
            <v>Code</v>
          </cell>
          <cell r="B6" t="str">
            <v>Timizing</v>
          </cell>
          <cell r="E6" t="str">
            <v>Dimension</v>
          </cell>
          <cell r="F6" t="str">
            <v>Qty</v>
          </cell>
        </row>
        <row r="12">
          <cell r="B12">
            <v>1</v>
          </cell>
          <cell r="C12">
            <v>1</v>
          </cell>
          <cell r="D12">
            <v>24</v>
          </cell>
          <cell r="E12">
            <v>0.25</v>
          </cell>
        </row>
        <row r="13">
          <cell r="E13">
            <v>0.4</v>
          </cell>
        </row>
        <row r="14">
          <cell r="E14">
            <v>2.58</v>
          </cell>
        </row>
        <row r="15">
          <cell r="F15">
            <v>6.19</v>
          </cell>
        </row>
        <row r="16">
          <cell r="A16" t="str">
            <v>C1.1a</v>
          </cell>
          <cell r="F16">
            <v>6.19</v>
          </cell>
        </row>
        <row r="19">
          <cell r="B19">
            <v>1</v>
          </cell>
          <cell r="C19">
            <v>1</v>
          </cell>
          <cell r="D19">
            <v>4</v>
          </cell>
          <cell r="E19">
            <v>8.1999999999999993</v>
          </cell>
        </row>
        <row r="20">
          <cell r="E20">
            <v>0.2</v>
          </cell>
        </row>
        <row r="21">
          <cell r="E21">
            <v>0.3</v>
          </cell>
        </row>
        <row r="22">
          <cell r="F22">
            <v>1.97</v>
          </cell>
        </row>
        <row r="23">
          <cell r="B23">
            <v>1</v>
          </cell>
          <cell r="C23">
            <v>1</v>
          </cell>
          <cell r="D23">
            <v>4</v>
          </cell>
          <cell r="E23">
            <v>9.5300000000000011</v>
          </cell>
        </row>
        <row r="24">
          <cell r="E24">
            <v>0.2</v>
          </cell>
        </row>
        <row r="25">
          <cell r="E25">
            <v>0.3</v>
          </cell>
        </row>
        <row r="26">
          <cell r="F26">
            <v>2.29</v>
          </cell>
        </row>
        <row r="27">
          <cell r="B27">
            <v>1</v>
          </cell>
          <cell r="C27">
            <v>1</v>
          </cell>
          <cell r="D27">
            <v>1</v>
          </cell>
          <cell r="E27">
            <v>30.520000000000003</v>
          </cell>
        </row>
        <row r="28">
          <cell r="E28">
            <v>0.2</v>
          </cell>
        </row>
        <row r="29">
          <cell r="E29">
            <v>0.3</v>
          </cell>
        </row>
        <row r="30">
          <cell r="F30">
            <v>1.83</v>
          </cell>
        </row>
        <row r="31">
          <cell r="B31">
            <v>1</v>
          </cell>
          <cell r="C31">
            <v>1</v>
          </cell>
          <cell r="D31">
            <v>2</v>
          </cell>
          <cell r="E31">
            <v>4.8</v>
          </cell>
        </row>
        <row r="32">
          <cell r="E32">
            <v>0.2</v>
          </cell>
        </row>
        <row r="33">
          <cell r="E33">
            <v>0.3</v>
          </cell>
        </row>
        <row r="34">
          <cell r="F34">
            <v>0.57999999999999996</v>
          </cell>
        </row>
        <row r="35">
          <cell r="B35">
            <v>1</v>
          </cell>
          <cell r="C35">
            <v>1</v>
          </cell>
          <cell r="D35">
            <v>2</v>
          </cell>
          <cell r="E35">
            <v>8.6900000000000013</v>
          </cell>
        </row>
        <row r="36">
          <cell r="E36">
            <v>0.2</v>
          </cell>
        </row>
        <row r="37">
          <cell r="E37">
            <v>0.3</v>
          </cell>
        </row>
        <row r="38">
          <cell r="F38">
            <v>1.04</v>
          </cell>
        </row>
        <row r="39">
          <cell r="B39">
            <v>1</v>
          </cell>
          <cell r="C39">
            <v>1</v>
          </cell>
          <cell r="D39">
            <v>1</v>
          </cell>
          <cell r="E39">
            <v>20.93</v>
          </cell>
        </row>
        <row r="40">
          <cell r="E40">
            <v>0.2</v>
          </cell>
        </row>
        <row r="41">
          <cell r="E41">
            <v>0.3</v>
          </cell>
        </row>
        <row r="42">
          <cell r="F42">
            <v>1.26</v>
          </cell>
        </row>
        <row r="43">
          <cell r="B43">
            <v>1</v>
          </cell>
          <cell r="C43">
            <v>1</v>
          </cell>
          <cell r="D43">
            <v>2</v>
          </cell>
          <cell r="E43">
            <v>5</v>
          </cell>
        </row>
        <row r="44">
          <cell r="E44">
            <v>0.2</v>
          </cell>
        </row>
        <row r="45">
          <cell r="E45">
            <v>0.3</v>
          </cell>
        </row>
        <row r="46">
          <cell r="F46">
            <v>0.6</v>
          </cell>
        </row>
        <row r="47">
          <cell r="B47">
            <v>1</v>
          </cell>
          <cell r="C47">
            <v>1</v>
          </cell>
          <cell r="D47">
            <v>2</v>
          </cell>
          <cell r="E47">
            <v>4.8499999999999996</v>
          </cell>
        </row>
        <row r="48">
          <cell r="E48">
            <v>0.2</v>
          </cell>
        </row>
        <row r="49">
          <cell r="E49">
            <v>0.3</v>
          </cell>
        </row>
        <row r="50">
          <cell r="F50">
            <v>0.57999999999999996</v>
          </cell>
        </row>
        <row r="52">
          <cell r="B52">
            <v>1</v>
          </cell>
          <cell r="C52">
            <v>1</v>
          </cell>
          <cell r="D52">
            <v>24</v>
          </cell>
          <cell r="E52">
            <v>0.25</v>
          </cell>
        </row>
        <row r="53">
          <cell r="E53">
            <v>0.4</v>
          </cell>
        </row>
        <row r="54">
          <cell r="E54">
            <v>0.3</v>
          </cell>
        </row>
        <row r="55">
          <cell r="F55">
            <v>0.72</v>
          </cell>
        </row>
        <row r="56">
          <cell r="A56" t="str">
            <v>C1.1b</v>
          </cell>
          <cell r="F56">
            <v>10.870000000000001</v>
          </cell>
        </row>
        <row r="60">
          <cell r="B60">
            <v>1</v>
          </cell>
          <cell r="C60">
            <v>1</v>
          </cell>
          <cell r="D60">
            <v>24</v>
          </cell>
          <cell r="E60">
            <v>1.3</v>
          </cell>
        </row>
        <row r="61">
          <cell r="E61">
            <v>2.58</v>
          </cell>
        </row>
        <row r="62">
          <cell r="F62">
            <v>80.5</v>
          </cell>
        </row>
        <row r="63">
          <cell r="A63" t="str">
            <v>C1.3a</v>
          </cell>
          <cell r="F63">
            <v>80.5</v>
          </cell>
        </row>
        <row r="67">
          <cell r="B67">
            <v>1</v>
          </cell>
          <cell r="C67">
            <v>1</v>
          </cell>
          <cell r="D67">
            <v>1</v>
          </cell>
          <cell r="E67">
            <v>89.16</v>
          </cell>
        </row>
        <row r="68">
          <cell r="E68">
            <v>0.3</v>
          </cell>
        </row>
        <row r="69">
          <cell r="F69">
            <v>26.75</v>
          </cell>
        </row>
        <row r="71">
          <cell r="B71">
            <v>1</v>
          </cell>
          <cell r="C71">
            <v>1</v>
          </cell>
          <cell r="D71">
            <v>2</v>
          </cell>
          <cell r="E71">
            <v>27.3</v>
          </cell>
        </row>
        <row r="72">
          <cell r="E72">
            <v>0.3</v>
          </cell>
        </row>
        <row r="73">
          <cell r="F73">
            <v>16.38</v>
          </cell>
        </row>
        <row r="74">
          <cell r="B74">
            <v>1</v>
          </cell>
          <cell r="C74">
            <v>1</v>
          </cell>
          <cell r="D74">
            <v>2</v>
          </cell>
          <cell r="E74">
            <v>58.559999999999995</v>
          </cell>
        </row>
        <row r="75">
          <cell r="E75">
            <v>0.3</v>
          </cell>
        </row>
        <row r="76">
          <cell r="F76">
            <v>35.14</v>
          </cell>
        </row>
        <row r="77">
          <cell r="B77">
            <v>1</v>
          </cell>
          <cell r="C77">
            <v>1</v>
          </cell>
          <cell r="D77">
            <v>2</v>
          </cell>
          <cell r="E77">
            <v>32.96</v>
          </cell>
        </row>
        <row r="78">
          <cell r="E78">
            <v>0.3</v>
          </cell>
        </row>
        <row r="79">
          <cell r="F79">
            <v>19.78</v>
          </cell>
        </row>
        <row r="80">
          <cell r="B80">
            <v>1</v>
          </cell>
          <cell r="C80">
            <v>1</v>
          </cell>
          <cell r="D80">
            <v>1</v>
          </cell>
          <cell r="E80">
            <v>25.28</v>
          </cell>
        </row>
        <row r="81">
          <cell r="E81">
            <v>0.3</v>
          </cell>
        </row>
        <row r="82">
          <cell r="F82">
            <v>7.58</v>
          </cell>
        </row>
        <row r="84">
          <cell r="B84">
            <v>1</v>
          </cell>
          <cell r="C84">
            <v>1</v>
          </cell>
          <cell r="D84">
            <v>4</v>
          </cell>
          <cell r="E84">
            <v>8.1999999999999993</v>
          </cell>
        </row>
        <row r="85">
          <cell r="E85">
            <v>0.2</v>
          </cell>
        </row>
        <row r="86">
          <cell r="F86">
            <v>6.56</v>
          </cell>
        </row>
        <row r="87">
          <cell r="B87">
            <v>1</v>
          </cell>
          <cell r="C87">
            <v>1</v>
          </cell>
          <cell r="D87">
            <v>4</v>
          </cell>
          <cell r="E87">
            <v>9.5300000000000011</v>
          </cell>
        </row>
        <row r="88">
          <cell r="E88">
            <v>0.2</v>
          </cell>
        </row>
        <row r="89">
          <cell r="F89">
            <v>7.62</v>
          </cell>
        </row>
        <row r="90">
          <cell r="B90">
            <v>1</v>
          </cell>
          <cell r="C90">
            <v>1</v>
          </cell>
          <cell r="D90">
            <v>2</v>
          </cell>
          <cell r="E90">
            <v>5</v>
          </cell>
        </row>
        <row r="91">
          <cell r="E91">
            <v>0.2</v>
          </cell>
        </row>
        <row r="92">
          <cell r="F92">
            <v>2</v>
          </cell>
        </row>
        <row r="93">
          <cell r="B93">
            <v>1</v>
          </cell>
          <cell r="C93">
            <v>1</v>
          </cell>
          <cell r="D93">
            <v>1</v>
          </cell>
          <cell r="E93">
            <v>9.6999999999999993</v>
          </cell>
        </row>
        <row r="94">
          <cell r="E94">
            <v>0.2</v>
          </cell>
        </row>
        <row r="95">
          <cell r="F95">
            <v>1.94</v>
          </cell>
        </row>
        <row r="96">
          <cell r="B96">
            <v>1</v>
          </cell>
          <cell r="C96">
            <v>1</v>
          </cell>
          <cell r="D96">
            <v>1</v>
          </cell>
          <cell r="E96">
            <v>20.92</v>
          </cell>
        </row>
        <row r="97">
          <cell r="E97">
            <v>0.2</v>
          </cell>
        </row>
        <row r="98">
          <cell r="F98">
            <v>4.18</v>
          </cell>
        </row>
        <row r="99">
          <cell r="B99">
            <v>1</v>
          </cell>
          <cell r="C99">
            <v>1</v>
          </cell>
          <cell r="D99">
            <v>1</v>
          </cell>
          <cell r="E99">
            <v>9.6</v>
          </cell>
        </row>
        <row r="100">
          <cell r="E100">
            <v>0.2</v>
          </cell>
        </row>
        <row r="101">
          <cell r="F101">
            <v>1.92</v>
          </cell>
        </row>
        <row r="102">
          <cell r="B102">
            <v>1</v>
          </cell>
          <cell r="C102">
            <v>1</v>
          </cell>
          <cell r="D102">
            <v>1</v>
          </cell>
          <cell r="E102">
            <v>17.38</v>
          </cell>
        </row>
        <row r="103">
          <cell r="E103">
            <v>0.2</v>
          </cell>
        </row>
        <row r="104">
          <cell r="F104">
            <v>3.48</v>
          </cell>
        </row>
        <row r="105">
          <cell r="B105">
            <v>1</v>
          </cell>
          <cell r="C105">
            <v>1</v>
          </cell>
          <cell r="D105">
            <v>1</v>
          </cell>
          <cell r="E105">
            <v>30.520000000000003</v>
          </cell>
        </row>
        <row r="106">
          <cell r="E106">
            <v>0.2</v>
          </cell>
        </row>
        <row r="107">
          <cell r="F107">
            <v>0</v>
          </cell>
        </row>
        <row r="108">
          <cell r="A108" t="str">
            <v>C1.3b</v>
          </cell>
          <cell r="F108">
            <v>133.32999999999998</v>
          </cell>
        </row>
        <row r="111">
          <cell r="A111" t="str">
            <v>C1.4a</v>
          </cell>
          <cell r="F111">
            <v>0</v>
          </cell>
        </row>
        <row r="113">
          <cell r="A113" t="str">
            <v>C1.4b</v>
          </cell>
          <cell r="F113">
            <v>557.34</v>
          </cell>
        </row>
        <row r="115">
          <cell r="A115" t="str">
            <v>C1.4c</v>
          </cell>
          <cell r="F115">
            <v>0</v>
          </cell>
        </row>
        <row r="117">
          <cell r="A117" t="str">
            <v>C1.4d</v>
          </cell>
          <cell r="F117">
            <v>323.68</v>
          </cell>
        </row>
        <row r="119">
          <cell r="A119" t="str">
            <v>C1.4e</v>
          </cell>
          <cell r="F119">
            <v>958.39</v>
          </cell>
        </row>
        <row r="121">
          <cell r="A121" t="str">
            <v>C1.4f</v>
          </cell>
          <cell r="F121">
            <v>453.24</v>
          </cell>
        </row>
        <row r="123">
          <cell r="A123" t="str">
            <v>C1.4g</v>
          </cell>
          <cell r="F123">
            <v>0</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row r="1">
          <cell r="B1" t="str">
            <v>Project: Low Cost Housing Development Project</v>
          </cell>
        </row>
      </sheetData>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nalysi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omon Weldu A2,E1-FevV"/>
      <sheetName val="BEREKET YEMANE-A2,E1-HENOKX"/>
      <sheetName val="SISAY GMARIAM,A2,A2-HENOKX"/>
      <sheetName val="Tesfu Beyen- A2,E1-hENOKX"/>
      <sheetName val="Wendwessen- A2,A1-fevenV "/>
      <sheetName val="Sisay Tedla b.c.- A2,E1-FevX "/>
      <sheetName val="YOKA CONS. A2,E1-YESHITILAX"/>
      <sheetName val="Teshale Asrat- E2,E1-Yesh"/>
      <sheetName val="Adot con.- A2,E1-Yeshitila"/>
      <sheetName val="Eshetu Yirdaw bc.-A2,E1-TsedeyV"/>
      <sheetName val="Sara B.c.- A2,E1-TsedeyV"/>
      <sheetName val="Seid Abdela-A2,E1-TsedeyV"/>
      <sheetName val="kinfe hailu,e1,a2(dagne)X"/>
      <sheetName val="mathios teshome E1,A2 (dagne)X"/>
      <sheetName val="Amha Wegayehu- E2,E1-Tsedey"/>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ndows and Doors"/>
      <sheetName val="BOQ Ar &amp; St"/>
      <sheetName val="Sub-Structure Rein"/>
      <sheetName val="Super-Structure Rein"/>
      <sheetName val="T-OFF"/>
    </sheetNames>
    <sheetDataSet>
      <sheetData sheetId="0" refreshError="1"/>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Labor data"/>
      <sheetName val="Equipment data"/>
      <sheetName val="Material data"/>
      <sheetName val="cost breakdown"/>
      <sheetName val="Summary"/>
      <sheetName val="Assumptions"/>
      <sheetName val="indirect cost"/>
      <sheetName val="A.Inform"/>
      <sheetName val="Proforma"/>
      <sheetName val="EST PAYM"/>
      <sheetName val="ADVANCE DISB"/>
      <sheetName val="major equipment schedule"/>
      <sheetName val="MATERIAL"/>
      <sheetName val="LABOR"/>
    </sheetNames>
    <sheetDataSet>
      <sheetData sheetId="0" refreshError="1"/>
      <sheetData sheetId="1" refreshError="1"/>
      <sheetData sheetId="2" refreshError="1">
        <row r="1">
          <cell r="B1">
            <v>0</v>
          </cell>
        </row>
        <row r="9">
          <cell r="B9" t="str">
            <v>Asphalt heater</v>
          </cell>
        </row>
        <row r="10">
          <cell r="B10" t="str">
            <v>D. Truck (10m3)</v>
          </cell>
        </row>
        <row r="11">
          <cell r="B11" t="str">
            <v>Asphalt dstributer</v>
          </cell>
        </row>
        <row r="12">
          <cell r="B12" t="str">
            <v>Excavator</v>
          </cell>
        </row>
        <row r="13">
          <cell r="B13" t="str">
            <v>Grinding machine</v>
          </cell>
        </row>
        <row r="14">
          <cell r="B14" t="str">
            <v>Power broom</v>
          </cell>
        </row>
        <row r="15">
          <cell r="B15" t="str">
            <v>Roller</v>
          </cell>
        </row>
        <row r="16">
          <cell r="B16" t="str">
            <v>Welding machine</v>
          </cell>
        </row>
        <row r="17">
          <cell r="B17" t="str">
            <v>Wheel loader CAT 938</v>
          </cell>
        </row>
        <row r="18">
          <cell r="B18" t="str">
            <v>Bull dozer (D8R)</v>
          </cell>
        </row>
        <row r="19">
          <cell r="B19" t="str">
            <v>Motor grader</v>
          </cell>
        </row>
        <row r="20">
          <cell r="B20" t="str">
            <v>Water truck</v>
          </cell>
        </row>
        <row r="21">
          <cell r="B21" t="str">
            <v>Concrete Batching plant</v>
          </cell>
        </row>
        <row r="22">
          <cell r="B22" t="str">
            <v>Concrete truck mixer</v>
          </cell>
        </row>
        <row r="23">
          <cell r="B23" t="str">
            <v>Tower crane</v>
          </cell>
        </row>
        <row r="24">
          <cell r="B24" t="str">
            <v>Doze D6</v>
          </cell>
        </row>
        <row r="25">
          <cell r="B25" t="str">
            <v>Mobile crane</v>
          </cell>
        </row>
        <row r="26">
          <cell r="B26" t="str">
            <v>Crusher (120T)</v>
          </cell>
        </row>
        <row r="27">
          <cell r="B27" t="str">
            <v>Generator (320KW)</v>
          </cell>
        </row>
        <row r="28">
          <cell r="B28" t="str">
            <v>Mixer-350lit</v>
          </cell>
        </row>
        <row r="29">
          <cell r="B29" t="str">
            <v>Asphalt distributor</v>
          </cell>
        </row>
        <row r="30">
          <cell r="B30" t="str">
            <v>Crusher, 120TPH</v>
          </cell>
        </row>
        <row r="31">
          <cell r="B31" t="str">
            <v>Mixer-500lit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E2 Res (EXC&amp;MAS200kp)"/>
      <sheetName val="Block Summary"/>
      <sheetName val="Summary"/>
      <sheetName val=" Sub Structure BC = 200"/>
      <sheetName val=" E2 Res TAKOFF(con sub200kp)"/>
      <sheetName val=" TAKE OFF(form sub 200kp)"/>
      <sheetName val="E2 Res TAKE OFF(ref sub 200 kp)"/>
      <sheetName val=" Ar &amp; St"/>
      <sheetName val=" TAKE OFF(con super 200kp)"/>
      <sheetName val="E2 ResTAKEOFF(refsup bar 200kp)"/>
      <sheetName val=" TAKE OFF(form super 200kp)"/>
      <sheetName val="Sheet1"/>
    </sheetNames>
    <sheetDataSet>
      <sheetData sheetId="0" refreshError="1">
        <row r="1">
          <cell r="B1" t="str">
            <v>Final Residence</v>
          </cell>
        </row>
        <row r="2">
          <cell r="B2" t="str">
            <v>TAKEOFF SHEET FOR</v>
          </cell>
        </row>
        <row r="3">
          <cell r="B3" t="str">
            <v xml:space="preserve"> CLIENT: AAHDPO</v>
          </cell>
        </row>
        <row r="4">
          <cell r="B4" t="str">
            <v>Type E-2 (G+4)</v>
          </cell>
        </row>
        <row r="5">
          <cell r="B5" t="str">
            <v>LOCATION :- ADDIS ABABA,BC=200</v>
          </cell>
        </row>
        <row r="6">
          <cell r="B6" t="str">
            <v>SUB STRUCTURE</v>
          </cell>
        </row>
        <row r="8">
          <cell r="B8" t="str">
            <v>1) EXCAVATION &amp; EARTH WORKS</v>
          </cell>
        </row>
        <row r="9">
          <cell r="B9" t="str">
            <v>1.1 Site clearing</v>
          </cell>
          <cell r="C9">
            <v>1</v>
          </cell>
          <cell r="D9">
            <v>25.42</v>
          </cell>
        </row>
        <row r="10">
          <cell r="D10">
            <v>11.153</v>
          </cell>
        </row>
        <row r="11">
          <cell r="A11" t="str">
            <v>B1.1</v>
          </cell>
          <cell r="E11">
            <v>283.51</v>
          </cell>
        </row>
        <row r="13">
          <cell r="B13" t="str">
            <v>1.2 Bulk Excavation</v>
          </cell>
          <cell r="C13">
            <v>1</v>
          </cell>
          <cell r="D13">
            <v>25.42</v>
          </cell>
        </row>
        <row r="14">
          <cell r="D14">
            <v>11.153</v>
          </cell>
        </row>
        <row r="15">
          <cell r="D15">
            <v>0.4</v>
          </cell>
        </row>
        <row r="16">
          <cell r="A16" t="str">
            <v>B1.2</v>
          </cell>
          <cell r="E16">
            <v>113.4</v>
          </cell>
        </row>
        <row r="18">
          <cell r="B18" t="str">
            <v>1.3 Trench Excavation</v>
          </cell>
          <cell r="C18">
            <v>2</v>
          </cell>
          <cell r="D18">
            <v>3.4060000000000001</v>
          </cell>
        </row>
        <row r="19">
          <cell r="D19">
            <v>1</v>
          </cell>
        </row>
        <row r="20">
          <cell r="D20">
            <v>0.9</v>
          </cell>
        </row>
        <row r="21">
          <cell r="E21">
            <v>6.13</v>
          </cell>
        </row>
        <row r="23">
          <cell r="C23">
            <v>2</v>
          </cell>
          <cell r="D23">
            <v>0.08</v>
          </cell>
        </row>
        <row r="24">
          <cell r="D24">
            <v>1</v>
          </cell>
        </row>
        <row r="25">
          <cell r="D25">
            <v>0.9</v>
          </cell>
        </row>
        <row r="26">
          <cell r="E26">
            <v>0.14000000000000001</v>
          </cell>
        </row>
        <row r="28">
          <cell r="C28">
            <v>1</v>
          </cell>
          <cell r="D28">
            <v>5.04</v>
          </cell>
        </row>
        <row r="29">
          <cell r="D29">
            <v>1</v>
          </cell>
        </row>
        <row r="30">
          <cell r="D30">
            <v>0.9</v>
          </cell>
        </row>
        <row r="31">
          <cell r="E31">
            <v>4.54</v>
          </cell>
        </row>
        <row r="33">
          <cell r="C33">
            <v>2</v>
          </cell>
          <cell r="D33">
            <v>1.05</v>
          </cell>
        </row>
        <row r="34">
          <cell r="D34">
            <v>0.33</v>
          </cell>
        </row>
        <row r="35">
          <cell r="D35">
            <v>0.9</v>
          </cell>
        </row>
        <row r="36">
          <cell r="E36">
            <v>0.62</v>
          </cell>
        </row>
        <row r="38">
          <cell r="C38">
            <v>2</v>
          </cell>
          <cell r="D38">
            <v>1.5149999999999999</v>
          </cell>
        </row>
        <row r="39">
          <cell r="D39">
            <v>1</v>
          </cell>
        </row>
        <row r="40">
          <cell r="D40">
            <v>0.9</v>
          </cell>
        </row>
        <row r="41">
          <cell r="E41">
            <v>2.73</v>
          </cell>
        </row>
        <row r="43">
          <cell r="C43">
            <v>1</v>
          </cell>
          <cell r="D43">
            <v>7.27</v>
          </cell>
        </row>
        <row r="44">
          <cell r="D44">
            <v>1</v>
          </cell>
        </row>
        <row r="45">
          <cell r="D45">
            <v>0.9</v>
          </cell>
        </row>
        <row r="46">
          <cell r="E46">
            <v>6.54</v>
          </cell>
        </row>
        <row r="48">
          <cell r="C48">
            <v>2</v>
          </cell>
          <cell r="D48">
            <v>0.625</v>
          </cell>
        </row>
        <row r="49">
          <cell r="D49">
            <v>0.70300000000000007</v>
          </cell>
        </row>
        <row r="50">
          <cell r="D50">
            <v>0.9</v>
          </cell>
        </row>
        <row r="51">
          <cell r="E51">
            <v>0.79</v>
          </cell>
        </row>
        <row r="53">
          <cell r="C53">
            <v>4</v>
          </cell>
          <cell r="D53">
            <v>3.1</v>
          </cell>
        </row>
        <row r="54">
          <cell r="D54">
            <v>0.40300000000000002</v>
          </cell>
        </row>
        <row r="55">
          <cell r="D55">
            <v>0.9</v>
          </cell>
        </row>
        <row r="56">
          <cell r="E56">
            <v>4.5</v>
          </cell>
        </row>
        <row r="57">
          <cell r="A57" t="str">
            <v>B1.3</v>
          </cell>
          <cell r="E57">
            <v>25.99</v>
          </cell>
        </row>
        <row r="58">
          <cell r="B58" t="str">
            <v>1.4 Excavate in ordinary soil for isolated footing to a depth not exceeding 1500mm from stripped level.</v>
          </cell>
        </row>
        <row r="59">
          <cell r="C59">
            <v>10</v>
          </cell>
          <cell r="D59">
            <v>3.1</v>
          </cell>
        </row>
        <row r="60">
          <cell r="D60">
            <v>3.1</v>
          </cell>
        </row>
        <row r="61">
          <cell r="D61">
            <v>1.5</v>
          </cell>
        </row>
        <row r="62">
          <cell r="E62">
            <v>144.15</v>
          </cell>
        </row>
        <row r="64">
          <cell r="C64">
            <v>2</v>
          </cell>
          <cell r="D64">
            <v>2.9</v>
          </cell>
        </row>
        <row r="65">
          <cell r="D65">
            <v>2.9</v>
          </cell>
        </row>
        <row r="66">
          <cell r="D66">
            <v>1.5</v>
          </cell>
        </row>
        <row r="67">
          <cell r="E67">
            <v>25.23</v>
          </cell>
        </row>
        <row r="69">
          <cell r="C69">
            <v>4</v>
          </cell>
          <cell r="D69">
            <v>2.5</v>
          </cell>
        </row>
        <row r="70">
          <cell r="D70">
            <v>2.5</v>
          </cell>
        </row>
        <row r="71">
          <cell r="D71">
            <v>1.5</v>
          </cell>
        </row>
        <row r="72">
          <cell r="E72">
            <v>37.5</v>
          </cell>
        </row>
        <row r="74">
          <cell r="C74">
            <v>2</v>
          </cell>
          <cell r="D74">
            <v>2.1</v>
          </cell>
        </row>
        <row r="75">
          <cell r="D75">
            <v>2.1</v>
          </cell>
        </row>
        <row r="76">
          <cell r="D76">
            <v>1.5</v>
          </cell>
        </row>
        <row r="77">
          <cell r="E77">
            <v>13.23</v>
          </cell>
        </row>
        <row r="79">
          <cell r="A79" t="str">
            <v>B1.4</v>
          </cell>
          <cell r="E79">
            <v>220.11</v>
          </cell>
        </row>
        <row r="80">
          <cell r="B80" t="str">
            <v>1.5 Excavate in ordinary soil for isolated footing to a depth exceeding 1500mm but not exceeding 300mm from stripped level.</v>
          </cell>
        </row>
        <row r="81">
          <cell r="E81" t="str">
            <v>This data is obtained from excavation data attached at the back</v>
          </cell>
        </row>
        <row r="82">
          <cell r="A82" t="str">
            <v>B1.5</v>
          </cell>
          <cell r="E82">
            <v>89.22</v>
          </cell>
        </row>
        <row r="84">
          <cell r="B84" t="str">
            <v>1.6 Fill around footing pad and foundation column</v>
          </cell>
          <cell r="E84">
            <v>220.11</v>
          </cell>
        </row>
        <row r="85">
          <cell r="E85">
            <v>89.22</v>
          </cell>
        </row>
        <row r="87">
          <cell r="E87">
            <v>-5.0119999999999996</v>
          </cell>
        </row>
        <row r="88">
          <cell r="E88">
            <v>-45.618242509277053</v>
          </cell>
        </row>
        <row r="89">
          <cell r="E89">
            <v>-3.3048000000000002</v>
          </cell>
        </row>
        <row r="90">
          <cell r="D90">
            <v>-20.55</v>
          </cell>
        </row>
        <row r="91">
          <cell r="D91">
            <v>0.5</v>
          </cell>
        </row>
        <row r="92">
          <cell r="D92">
            <v>0.4</v>
          </cell>
        </row>
        <row r="93">
          <cell r="E93">
            <v>-4.1100000000000003</v>
          </cell>
        </row>
        <row r="94">
          <cell r="A94" t="str">
            <v>B1.6</v>
          </cell>
          <cell r="E94">
            <v>251.28</v>
          </cell>
        </row>
        <row r="96">
          <cell r="B96" t="str">
            <v>1.7 Fill around stone masonry</v>
          </cell>
        </row>
        <row r="98">
          <cell r="C98">
            <v>2</v>
          </cell>
          <cell r="D98">
            <v>3.4060000000000001</v>
          </cell>
        </row>
        <row r="99">
          <cell r="D99">
            <v>1</v>
          </cell>
        </row>
        <row r="100">
          <cell r="D100">
            <v>0.5</v>
          </cell>
        </row>
        <row r="101">
          <cell r="E101">
            <v>3.41</v>
          </cell>
        </row>
        <row r="103">
          <cell r="C103">
            <v>2</v>
          </cell>
          <cell r="D103">
            <v>0.08</v>
          </cell>
        </row>
        <row r="104">
          <cell r="D104">
            <v>1</v>
          </cell>
        </row>
        <row r="105">
          <cell r="D105">
            <v>0.5</v>
          </cell>
        </row>
        <row r="106">
          <cell r="E106">
            <v>0.08</v>
          </cell>
        </row>
        <row r="108">
          <cell r="C108">
            <v>1</v>
          </cell>
          <cell r="D108">
            <v>5.04</v>
          </cell>
        </row>
        <row r="109">
          <cell r="D109">
            <v>1</v>
          </cell>
        </row>
        <row r="110">
          <cell r="D110">
            <v>0.5</v>
          </cell>
        </row>
        <row r="111">
          <cell r="E111">
            <v>2.52</v>
          </cell>
        </row>
        <row r="113">
          <cell r="C113">
            <v>2</v>
          </cell>
          <cell r="D113">
            <v>1.05</v>
          </cell>
        </row>
        <row r="114">
          <cell r="D114">
            <v>0.33</v>
          </cell>
        </row>
        <row r="115">
          <cell r="D115">
            <v>0.5</v>
          </cell>
        </row>
        <row r="116">
          <cell r="E116">
            <v>0.35</v>
          </cell>
        </row>
        <row r="118">
          <cell r="C118">
            <v>2</v>
          </cell>
          <cell r="D118">
            <v>1.5149999999999999</v>
          </cell>
        </row>
        <row r="119">
          <cell r="D119">
            <v>1</v>
          </cell>
        </row>
        <row r="120">
          <cell r="D120">
            <v>0.5</v>
          </cell>
        </row>
        <row r="121">
          <cell r="E121">
            <v>1.52</v>
          </cell>
        </row>
        <row r="123">
          <cell r="C123">
            <v>1</v>
          </cell>
          <cell r="D123">
            <v>7.27</v>
          </cell>
        </row>
        <row r="124">
          <cell r="D124">
            <v>1</v>
          </cell>
        </row>
        <row r="125">
          <cell r="D125">
            <v>0.5</v>
          </cell>
        </row>
        <row r="126">
          <cell r="E126">
            <v>3.64</v>
          </cell>
        </row>
        <row r="128">
          <cell r="C128">
            <v>2</v>
          </cell>
          <cell r="D128">
            <v>0.625</v>
          </cell>
        </row>
        <row r="129">
          <cell r="D129">
            <v>0.70300000000000007</v>
          </cell>
        </row>
        <row r="130">
          <cell r="D130">
            <v>0.5</v>
          </cell>
        </row>
        <row r="131">
          <cell r="E131">
            <v>0.44</v>
          </cell>
        </row>
        <row r="133">
          <cell r="C133">
            <v>4</v>
          </cell>
          <cell r="D133">
            <v>3.1</v>
          </cell>
        </row>
        <row r="134">
          <cell r="D134">
            <v>0.40300000000000002</v>
          </cell>
        </row>
        <row r="135">
          <cell r="D135">
            <v>0.5</v>
          </cell>
        </row>
        <row r="136">
          <cell r="E136">
            <v>2.5</v>
          </cell>
        </row>
        <row r="139">
          <cell r="C139">
            <v>2</v>
          </cell>
          <cell r="D139">
            <v>3.41</v>
          </cell>
        </row>
        <row r="140">
          <cell r="D140">
            <v>1</v>
          </cell>
        </row>
        <row r="141">
          <cell r="D141">
            <v>0.4</v>
          </cell>
        </row>
        <row r="142">
          <cell r="E142">
            <v>2.73</v>
          </cell>
        </row>
        <row r="144">
          <cell r="C144">
            <v>2</v>
          </cell>
          <cell r="D144">
            <v>0.08</v>
          </cell>
        </row>
        <row r="145">
          <cell r="D145">
            <v>1</v>
          </cell>
        </row>
        <row r="146">
          <cell r="D146">
            <v>0.4</v>
          </cell>
        </row>
        <row r="147">
          <cell r="E147">
            <v>0.06</v>
          </cell>
        </row>
        <row r="149">
          <cell r="C149">
            <v>1</v>
          </cell>
          <cell r="D149">
            <v>5.04</v>
          </cell>
        </row>
        <row r="150">
          <cell r="D150">
            <v>1</v>
          </cell>
        </row>
        <row r="151">
          <cell r="D151">
            <v>0.4</v>
          </cell>
        </row>
        <row r="152">
          <cell r="E152">
            <v>2.02</v>
          </cell>
        </row>
        <row r="154">
          <cell r="C154">
            <v>2</v>
          </cell>
          <cell r="D154">
            <v>1.05</v>
          </cell>
        </row>
        <row r="155">
          <cell r="D155">
            <v>0.33</v>
          </cell>
        </row>
        <row r="156">
          <cell r="D156">
            <v>0.4</v>
          </cell>
        </row>
        <row r="157">
          <cell r="E157">
            <v>0.28000000000000003</v>
          </cell>
        </row>
        <row r="159">
          <cell r="C159">
            <v>2</v>
          </cell>
          <cell r="D159">
            <v>1.5149999999999999</v>
          </cell>
        </row>
        <row r="160">
          <cell r="D160">
            <v>1</v>
          </cell>
        </row>
        <row r="161">
          <cell r="D161">
            <v>0.4</v>
          </cell>
        </row>
        <row r="162">
          <cell r="E162">
            <v>1.21</v>
          </cell>
        </row>
        <row r="164">
          <cell r="C164">
            <v>1</v>
          </cell>
          <cell r="D164">
            <v>7.27</v>
          </cell>
        </row>
        <row r="165">
          <cell r="D165">
            <v>1</v>
          </cell>
        </row>
        <row r="166">
          <cell r="D166">
            <v>0.4</v>
          </cell>
        </row>
        <row r="167">
          <cell r="E167">
            <v>2.91</v>
          </cell>
        </row>
        <row r="169">
          <cell r="C169">
            <v>2</v>
          </cell>
          <cell r="D169">
            <v>0.625</v>
          </cell>
        </row>
        <row r="170">
          <cell r="D170">
            <v>0.70300000000000007</v>
          </cell>
        </row>
        <row r="171">
          <cell r="D171">
            <v>0.4</v>
          </cell>
        </row>
        <row r="172">
          <cell r="E172">
            <v>0.35</v>
          </cell>
        </row>
        <row r="174">
          <cell r="C174">
            <v>4</v>
          </cell>
          <cell r="D174">
            <v>3.1</v>
          </cell>
        </row>
        <row r="175">
          <cell r="D175">
            <v>0.40300000000000002</v>
          </cell>
        </row>
        <row r="176">
          <cell r="D176">
            <v>0.4</v>
          </cell>
        </row>
        <row r="177">
          <cell r="E177">
            <v>2</v>
          </cell>
        </row>
        <row r="179">
          <cell r="A179" t="str">
            <v>B1.7</v>
          </cell>
          <cell r="E179">
            <v>26.02</v>
          </cell>
        </row>
        <row r="181">
          <cell r="B181" t="str">
            <v>1.8 Back Fill Under Hardcore From Quarry</v>
          </cell>
        </row>
        <row r="183">
          <cell r="C183">
            <v>1</v>
          </cell>
          <cell r="D183">
            <v>203.13</v>
          </cell>
        </row>
        <row r="184">
          <cell r="D184">
            <v>0.74</v>
          </cell>
        </row>
        <row r="185">
          <cell r="E185">
            <v>150.32</v>
          </cell>
        </row>
        <row r="186">
          <cell r="A186" t="str">
            <v>B1.8</v>
          </cell>
          <cell r="E186">
            <v>150.32</v>
          </cell>
        </row>
        <row r="187">
          <cell r="A187" t="str">
            <v>B1.9</v>
          </cell>
        </row>
        <row r="188">
          <cell r="B188" t="str">
            <v>1.10 Cart away</v>
          </cell>
          <cell r="E188">
            <v>56.701999999999998</v>
          </cell>
        </row>
        <row r="189">
          <cell r="E189">
            <v>113.4</v>
          </cell>
        </row>
        <row r="190">
          <cell r="E190">
            <v>25.99</v>
          </cell>
        </row>
        <row r="191">
          <cell r="E191">
            <v>220.11</v>
          </cell>
        </row>
        <row r="192">
          <cell r="E192">
            <v>89.22</v>
          </cell>
        </row>
        <row r="193">
          <cell r="A193" t="str">
            <v>B1.10</v>
          </cell>
          <cell r="E193">
            <v>505.42</v>
          </cell>
        </row>
        <row r="195">
          <cell r="B195" t="str">
            <v>1.11 Hard core under 100mm thick ground floor slab</v>
          </cell>
        </row>
        <row r="196">
          <cell r="C196">
            <v>1</v>
          </cell>
          <cell r="D196">
            <v>22.42</v>
          </cell>
        </row>
        <row r="197">
          <cell r="D197">
            <v>10.984999999999999</v>
          </cell>
        </row>
        <row r="198">
          <cell r="E198">
            <v>246.28</v>
          </cell>
        </row>
        <row r="200">
          <cell r="C200">
            <v>-2</v>
          </cell>
          <cell r="D200">
            <v>1.33</v>
          </cell>
        </row>
        <row r="201">
          <cell r="D201">
            <v>4.0399999999999991</v>
          </cell>
        </row>
        <row r="202">
          <cell r="E202">
            <v>-10.75</v>
          </cell>
        </row>
        <row r="204">
          <cell r="C204">
            <v>-2</v>
          </cell>
          <cell r="D204">
            <v>27.025000000000006</v>
          </cell>
        </row>
        <row r="205">
          <cell r="D205">
            <v>0.2</v>
          </cell>
        </row>
        <row r="206">
          <cell r="E206">
            <v>-10.81</v>
          </cell>
        </row>
        <row r="208">
          <cell r="C208">
            <v>-1</v>
          </cell>
          <cell r="D208">
            <v>101.32</v>
          </cell>
        </row>
        <row r="209">
          <cell r="D209">
            <v>0.2</v>
          </cell>
        </row>
        <row r="210">
          <cell r="E210">
            <v>-20.260000000000002</v>
          </cell>
        </row>
        <row r="212">
          <cell r="C212">
            <v>-6</v>
          </cell>
          <cell r="D212">
            <v>0.25</v>
          </cell>
        </row>
        <row r="213">
          <cell r="D213">
            <v>0.4</v>
          </cell>
        </row>
        <row r="214">
          <cell r="E214">
            <v>-0.6</v>
          </cell>
        </row>
        <row r="216">
          <cell r="C216">
            <v>-12</v>
          </cell>
          <cell r="D216">
            <v>0.3</v>
          </cell>
        </row>
        <row r="217">
          <cell r="D217">
            <v>0.4</v>
          </cell>
        </row>
        <row r="218">
          <cell r="E218">
            <v>-1.44</v>
          </cell>
        </row>
        <row r="220">
          <cell r="A220" t="str">
            <v>B1.11</v>
          </cell>
          <cell r="E220">
            <v>202.42</v>
          </cell>
        </row>
        <row r="222">
          <cell r="B222" t="str">
            <v>3. Masonry Work</v>
          </cell>
          <cell r="C222">
            <v>1</v>
          </cell>
          <cell r="D222">
            <v>8.65</v>
          </cell>
        </row>
        <row r="223">
          <cell r="B223" t="str">
            <v>3.1 Below GL</v>
          </cell>
          <cell r="D223">
            <v>0.5</v>
          </cell>
        </row>
        <row r="224">
          <cell r="D224">
            <v>0.98</v>
          </cell>
        </row>
        <row r="225">
          <cell r="E225">
            <v>4.24</v>
          </cell>
        </row>
        <row r="227">
          <cell r="C227">
            <v>1</v>
          </cell>
          <cell r="D227">
            <v>8.65</v>
          </cell>
        </row>
        <row r="228">
          <cell r="D228">
            <v>0.5</v>
          </cell>
        </row>
        <row r="229">
          <cell r="D229">
            <v>1.0900000000000001</v>
          </cell>
        </row>
        <row r="230">
          <cell r="E230">
            <v>4.71</v>
          </cell>
        </row>
        <row r="232">
          <cell r="C232">
            <v>-6</v>
          </cell>
          <cell r="D232">
            <v>0.25</v>
          </cell>
        </row>
        <row r="233">
          <cell r="D233">
            <v>0.4</v>
          </cell>
        </row>
        <row r="234">
          <cell r="D234">
            <v>1</v>
          </cell>
        </row>
        <row r="235">
          <cell r="E235">
            <v>-0.6</v>
          </cell>
        </row>
        <row r="237">
          <cell r="C237">
            <v>1</v>
          </cell>
          <cell r="D237">
            <v>0.83</v>
          </cell>
        </row>
        <row r="238">
          <cell r="D238">
            <v>0.5</v>
          </cell>
        </row>
        <row r="239">
          <cell r="D239">
            <v>0.95</v>
          </cell>
        </row>
        <row r="240">
          <cell r="E240">
            <v>0.39</v>
          </cell>
        </row>
        <row r="241">
          <cell r="C241">
            <v>1</v>
          </cell>
          <cell r="D241">
            <v>0.83</v>
          </cell>
        </row>
        <row r="242">
          <cell r="D242">
            <v>0.5</v>
          </cell>
        </row>
        <row r="243">
          <cell r="D243">
            <v>1</v>
          </cell>
        </row>
        <row r="244">
          <cell r="E244">
            <v>0.42</v>
          </cell>
        </row>
        <row r="246">
          <cell r="C246">
            <v>-2</v>
          </cell>
          <cell r="D246">
            <v>0.3</v>
          </cell>
        </row>
        <row r="247">
          <cell r="D247">
            <v>0.4</v>
          </cell>
        </row>
        <row r="248">
          <cell r="D248">
            <v>1</v>
          </cell>
        </row>
        <row r="249">
          <cell r="E249">
            <v>-0.24</v>
          </cell>
        </row>
        <row r="251">
          <cell r="C251">
            <v>2</v>
          </cell>
          <cell r="D251">
            <v>4.54</v>
          </cell>
        </row>
        <row r="252">
          <cell r="D252">
            <v>0.5</v>
          </cell>
        </row>
        <row r="253">
          <cell r="D253">
            <v>0.98</v>
          </cell>
        </row>
        <row r="254">
          <cell r="E254">
            <v>4.45</v>
          </cell>
        </row>
        <row r="256">
          <cell r="C256">
            <v>1</v>
          </cell>
          <cell r="D256">
            <v>14.34</v>
          </cell>
        </row>
        <row r="257">
          <cell r="D257">
            <v>0.5</v>
          </cell>
        </row>
        <row r="258">
          <cell r="D258">
            <v>1</v>
          </cell>
        </row>
        <row r="259">
          <cell r="E259">
            <v>7.17</v>
          </cell>
        </row>
        <row r="261">
          <cell r="C261">
            <v>1</v>
          </cell>
          <cell r="D261">
            <v>22.42</v>
          </cell>
        </row>
        <row r="262">
          <cell r="D262">
            <v>0.5</v>
          </cell>
        </row>
        <row r="263">
          <cell r="D263">
            <v>0.92</v>
          </cell>
        </row>
        <row r="264">
          <cell r="E264">
            <v>10.31</v>
          </cell>
        </row>
        <row r="265">
          <cell r="A265" t="str">
            <v>B3.1</v>
          </cell>
          <cell r="E265">
            <v>30.85</v>
          </cell>
        </row>
        <row r="267">
          <cell r="B267" t="str">
            <v>3.2 Above GL</v>
          </cell>
        </row>
        <row r="268">
          <cell r="C268">
            <v>1</v>
          </cell>
          <cell r="D268">
            <v>8.65</v>
          </cell>
        </row>
        <row r="269">
          <cell r="D269">
            <v>0.5</v>
          </cell>
        </row>
        <row r="270">
          <cell r="D270">
            <v>0.22</v>
          </cell>
        </row>
        <row r="271">
          <cell r="E271">
            <v>0.95</v>
          </cell>
        </row>
        <row r="272">
          <cell r="C272">
            <v>1</v>
          </cell>
          <cell r="D272">
            <v>8.65</v>
          </cell>
        </row>
        <row r="273">
          <cell r="D273">
            <v>0.5</v>
          </cell>
        </row>
        <row r="274">
          <cell r="D274">
            <v>0.11</v>
          </cell>
        </row>
        <row r="275">
          <cell r="E275">
            <v>0.48</v>
          </cell>
        </row>
        <row r="276">
          <cell r="C276">
            <v>-6</v>
          </cell>
          <cell r="D276">
            <v>0.25</v>
          </cell>
        </row>
        <row r="277">
          <cell r="D277">
            <v>0.4</v>
          </cell>
        </row>
        <row r="278">
          <cell r="D278">
            <v>0.16500000000000001</v>
          </cell>
        </row>
        <row r="279">
          <cell r="E279">
            <v>-0.1</v>
          </cell>
        </row>
        <row r="281">
          <cell r="C281">
            <v>1</v>
          </cell>
          <cell r="D281">
            <v>0.83</v>
          </cell>
        </row>
        <row r="282">
          <cell r="D282">
            <v>0.5</v>
          </cell>
        </row>
        <row r="283">
          <cell r="D283">
            <v>0.05</v>
          </cell>
        </row>
        <row r="284">
          <cell r="E284">
            <v>0.02</v>
          </cell>
        </row>
        <row r="287">
          <cell r="C287">
            <v>2</v>
          </cell>
          <cell r="D287">
            <v>4.54</v>
          </cell>
        </row>
        <row r="288">
          <cell r="D288">
            <v>0.5</v>
          </cell>
        </row>
        <row r="289">
          <cell r="D289">
            <v>0.02</v>
          </cell>
        </row>
        <row r="290">
          <cell r="E290">
            <v>0.09</v>
          </cell>
        </row>
        <row r="293">
          <cell r="C293">
            <v>1</v>
          </cell>
          <cell r="D293">
            <v>22.42</v>
          </cell>
        </row>
        <row r="294">
          <cell r="D294">
            <v>0.5</v>
          </cell>
        </row>
        <row r="295">
          <cell r="D295">
            <v>0.28000000000000003</v>
          </cell>
        </row>
        <row r="296">
          <cell r="E296">
            <v>3.14</v>
          </cell>
        </row>
        <row r="297">
          <cell r="A297" t="str">
            <v>B3.2</v>
          </cell>
          <cell r="E297">
            <v>4.58</v>
          </cell>
        </row>
        <row r="298">
          <cell r="E298" t="str">
            <v/>
          </cell>
        </row>
      </sheetData>
      <sheetData sheetId="1"/>
      <sheetData sheetId="2"/>
      <sheetData sheetId="3">
        <row r="1">
          <cell r="B1" t="str">
            <v>Final Residence</v>
          </cell>
        </row>
      </sheetData>
      <sheetData sheetId="4"/>
      <sheetData sheetId="5"/>
      <sheetData sheetId="6"/>
      <sheetData sheetId="7"/>
      <sheetData sheetId="8"/>
      <sheetData sheetId="9"/>
      <sheetData sheetId="10"/>
      <sheetData sheetId="1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 A-2 300kp Res. Sup St."/>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Rebar. C "/>
      <sheetName val="Block A Rebar"/>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2 for above 3rd floor"/>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Structure BC = 200"/>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HS and Lattice purline A-2"/>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unal sub r-bar"/>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nalysis"/>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r &amp; St"/>
      <sheetName val="Block Summary"/>
      <sheetName val="Summary 05"/>
      <sheetName val="05 Sub Structure BC = 200"/>
      <sheetName val=" E2 Res (EXC&amp;MAS200kp) "/>
      <sheetName val=" E2 Res TAKOFF(con sub200kp)"/>
      <sheetName val=" TAKE OFF(form sub 200kp)"/>
      <sheetName val="E2 Res TAKE OFF(ref bar 200 kp)"/>
      <sheetName val=" TAKE OFF(con super 300kp)"/>
      <sheetName val=" TAKE OFF(form super 300kp)"/>
      <sheetName val="E2 Res TAKE OFF(ref sup 300 )"/>
      <sheetName val="E-2 Block work"/>
      <sheetName val="E-2 Plate Qty "/>
    </sheetNames>
    <sheetDataSet>
      <sheetData sheetId="0" refreshError="1">
        <row r="7">
          <cell r="H7" t="str">
            <v>Previous Qty</v>
          </cell>
        </row>
        <row r="39">
          <cell r="H39">
            <v>0</v>
          </cell>
        </row>
        <row r="48">
          <cell r="H48">
            <v>0</v>
          </cell>
        </row>
      </sheetData>
      <sheetData sheetId="1"/>
      <sheetData sheetId="2"/>
      <sheetData sheetId="3"/>
      <sheetData sheetId="4"/>
      <sheetData sheetId="5"/>
      <sheetData sheetId="6"/>
      <sheetData sheetId="7">
        <row r="7">
          <cell r="H7" t="str">
            <v>Previous Qty</v>
          </cell>
        </row>
      </sheetData>
      <sheetData sheetId="8"/>
      <sheetData sheetId="9"/>
      <sheetData sheetId="10"/>
      <sheetData sheetId="11" refreshError="1"/>
      <sheetData sheetId="1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ST"/>
      <sheetName val="SUPER ST"/>
    </sheetNames>
    <sheetDataSet>
      <sheetData sheetId="0" refreshError="1"/>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 A-2 300kp Shop Sup St."/>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 RB A-2 300kp Shop Sub St."/>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8 Ar &amp; St"/>
      <sheetName val="E-1Justification"/>
      <sheetName val="Pay-Cirteficate"/>
      <sheetName val="08 Summary"/>
      <sheetName val="truss"/>
      <sheetName val=" Latice Purlin "/>
    </sheetNames>
    <sheetDataSet>
      <sheetData sheetId="0" refreshError="1">
        <row r="23">
          <cell r="M23">
            <v>48628.979999999996</v>
          </cell>
        </row>
      </sheetData>
      <sheetData sheetId="1"/>
      <sheetData sheetId="2"/>
      <sheetData sheetId="3">
        <row r="23">
          <cell r="M23">
            <v>48628.979999999996</v>
          </cell>
        </row>
      </sheetData>
      <sheetData sheetId="4"/>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 E-1 300kp SHOP. Sub St."/>
      <sheetName val="Block Summary"/>
      <sheetName val="Summary"/>
      <sheetName val="Sub Structure BC = 300"/>
      <sheetName val="Ar &amp; St"/>
      <sheetName val="E-1 300kp SHOP. Sub St."/>
      <sheetName val="E-1-300 Kpa"/>
      <sheetName val="masonary data "/>
      <sheetName val="E-1 300kp  Sup St."/>
      <sheetName val="RB E-1 300kp Res. Super St."/>
    </sheetNames>
    <sheetDataSet>
      <sheetData sheetId="0" refreshError="1">
        <row r="4">
          <cell r="D4" t="str">
            <v>Dia</v>
          </cell>
        </row>
        <row r="8">
          <cell r="D8">
            <v>14</v>
          </cell>
        </row>
        <row r="9">
          <cell r="D9">
            <v>8</v>
          </cell>
        </row>
        <row r="10">
          <cell r="D10">
            <v>14</v>
          </cell>
        </row>
        <row r="11">
          <cell r="D11">
            <v>8</v>
          </cell>
        </row>
        <row r="12">
          <cell r="D12">
            <v>12</v>
          </cell>
        </row>
        <row r="13">
          <cell r="D13">
            <v>8</v>
          </cell>
        </row>
        <row r="14">
          <cell r="D14">
            <v>12</v>
          </cell>
        </row>
        <row r="15">
          <cell r="D15">
            <v>8</v>
          </cell>
        </row>
        <row r="18">
          <cell r="D18">
            <v>16</v>
          </cell>
        </row>
        <row r="19">
          <cell r="D19">
            <v>8</v>
          </cell>
        </row>
        <row r="20">
          <cell r="D20">
            <v>20</v>
          </cell>
        </row>
        <row r="21">
          <cell r="D21">
            <v>8</v>
          </cell>
        </row>
        <row r="22">
          <cell r="D22">
            <v>20</v>
          </cell>
        </row>
        <row r="23">
          <cell r="D23">
            <v>8</v>
          </cell>
        </row>
        <row r="24">
          <cell r="D24">
            <v>16</v>
          </cell>
        </row>
        <row r="25">
          <cell r="D25">
            <v>8</v>
          </cell>
        </row>
        <row r="26">
          <cell r="D26">
            <v>16</v>
          </cell>
        </row>
        <row r="27">
          <cell r="D27">
            <v>8</v>
          </cell>
        </row>
        <row r="28">
          <cell r="D28">
            <v>20</v>
          </cell>
        </row>
        <row r="29">
          <cell r="D29">
            <v>8</v>
          </cell>
        </row>
        <row r="30">
          <cell r="D30">
            <v>20</v>
          </cell>
        </row>
        <row r="31">
          <cell r="D31">
            <v>8</v>
          </cell>
        </row>
        <row r="32">
          <cell r="D32">
            <v>16</v>
          </cell>
        </row>
        <row r="33">
          <cell r="D33">
            <v>8</v>
          </cell>
        </row>
        <row r="34">
          <cell r="D34">
            <v>16</v>
          </cell>
        </row>
        <row r="35">
          <cell r="D35">
            <v>8</v>
          </cell>
        </row>
        <row r="36">
          <cell r="D36">
            <v>20</v>
          </cell>
        </row>
        <row r="37">
          <cell r="D37">
            <v>8</v>
          </cell>
        </row>
        <row r="38">
          <cell r="D38">
            <v>20</v>
          </cell>
        </row>
        <row r="39">
          <cell r="D39">
            <v>8</v>
          </cell>
        </row>
        <row r="40">
          <cell r="D40">
            <v>20</v>
          </cell>
        </row>
        <row r="41">
          <cell r="D41">
            <v>8</v>
          </cell>
        </row>
        <row r="42">
          <cell r="D42">
            <v>20</v>
          </cell>
        </row>
        <row r="43">
          <cell r="D43">
            <v>8</v>
          </cell>
        </row>
        <row r="44">
          <cell r="D44">
            <v>20</v>
          </cell>
        </row>
        <row r="45">
          <cell r="D45">
            <v>8</v>
          </cell>
        </row>
        <row r="46">
          <cell r="D46">
            <v>20</v>
          </cell>
        </row>
        <row r="47">
          <cell r="D47">
            <v>8</v>
          </cell>
        </row>
        <row r="48">
          <cell r="D48">
            <v>16</v>
          </cell>
        </row>
        <row r="49">
          <cell r="D49">
            <v>8</v>
          </cell>
        </row>
        <row r="50">
          <cell r="D50">
            <v>16</v>
          </cell>
        </row>
        <row r="51">
          <cell r="D51">
            <v>8</v>
          </cell>
        </row>
        <row r="52">
          <cell r="D52">
            <v>20</v>
          </cell>
        </row>
        <row r="53">
          <cell r="D53">
            <v>8</v>
          </cell>
        </row>
        <row r="54">
          <cell r="D54">
            <v>20</v>
          </cell>
        </row>
        <row r="55">
          <cell r="D55">
            <v>8</v>
          </cell>
        </row>
        <row r="56">
          <cell r="D56">
            <v>16</v>
          </cell>
        </row>
        <row r="57">
          <cell r="D57">
            <v>8</v>
          </cell>
        </row>
        <row r="58">
          <cell r="D58">
            <v>16</v>
          </cell>
        </row>
        <row r="59">
          <cell r="D59">
            <v>8</v>
          </cell>
        </row>
        <row r="60">
          <cell r="D60">
            <v>20</v>
          </cell>
        </row>
        <row r="61">
          <cell r="D61">
            <v>8</v>
          </cell>
        </row>
        <row r="62">
          <cell r="D62">
            <v>20</v>
          </cell>
        </row>
        <row r="63">
          <cell r="D63">
            <v>8</v>
          </cell>
        </row>
        <row r="64">
          <cell r="D64">
            <v>16</v>
          </cell>
        </row>
        <row r="65">
          <cell r="D65">
            <v>8</v>
          </cell>
        </row>
        <row r="68">
          <cell r="D68">
            <v>14</v>
          </cell>
        </row>
        <row r="69">
          <cell r="D69">
            <v>14</v>
          </cell>
        </row>
        <row r="70">
          <cell r="D70">
            <v>12</v>
          </cell>
        </row>
        <row r="71">
          <cell r="D71">
            <v>12</v>
          </cell>
        </row>
        <row r="72">
          <cell r="D72">
            <v>14</v>
          </cell>
        </row>
        <row r="73">
          <cell r="D73">
            <v>8</v>
          </cell>
        </row>
        <row r="74">
          <cell r="D74">
            <v>14</v>
          </cell>
        </row>
        <row r="75">
          <cell r="D75">
            <v>14</v>
          </cell>
        </row>
        <row r="76">
          <cell r="D76">
            <v>12</v>
          </cell>
        </row>
        <row r="77">
          <cell r="D77">
            <v>12</v>
          </cell>
        </row>
        <row r="78">
          <cell r="D78">
            <v>8</v>
          </cell>
        </row>
        <row r="79">
          <cell r="D79">
            <v>14</v>
          </cell>
        </row>
        <row r="80">
          <cell r="D80">
            <v>12</v>
          </cell>
        </row>
        <row r="81">
          <cell r="D81">
            <v>8</v>
          </cell>
        </row>
        <row r="82">
          <cell r="D82">
            <v>14</v>
          </cell>
        </row>
        <row r="83">
          <cell r="D83">
            <v>12</v>
          </cell>
        </row>
        <row r="84">
          <cell r="D84">
            <v>8</v>
          </cell>
        </row>
        <row r="85">
          <cell r="D85">
            <v>14</v>
          </cell>
        </row>
        <row r="86">
          <cell r="D86">
            <v>12</v>
          </cell>
        </row>
        <row r="87">
          <cell r="D87">
            <v>8</v>
          </cell>
        </row>
        <row r="88">
          <cell r="D88">
            <v>14</v>
          </cell>
        </row>
        <row r="89">
          <cell r="D89">
            <v>12</v>
          </cell>
        </row>
        <row r="90">
          <cell r="D90">
            <v>8</v>
          </cell>
        </row>
        <row r="91">
          <cell r="D91">
            <v>14</v>
          </cell>
        </row>
        <row r="92">
          <cell r="D92">
            <v>12</v>
          </cell>
        </row>
        <row r="93">
          <cell r="D93">
            <v>8</v>
          </cell>
        </row>
        <row r="95">
          <cell r="D95">
            <v>6</v>
          </cell>
        </row>
        <row r="96">
          <cell r="D96">
            <v>6</v>
          </cell>
        </row>
        <row r="97">
          <cell r="D97">
            <v>6</v>
          </cell>
        </row>
        <row r="98">
          <cell r="D98">
            <v>6</v>
          </cell>
        </row>
        <row r="99">
          <cell r="D99">
            <v>6</v>
          </cell>
        </row>
        <row r="100">
          <cell r="D100">
            <v>6</v>
          </cell>
        </row>
        <row r="101">
          <cell r="D101">
            <v>6</v>
          </cell>
        </row>
        <row r="102">
          <cell r="D102">
            <v>6</v>
          </cell>
        </row>
        <row r="103">
          <cell r="D103">
            <v>6</v>
          </cell>
        </row>
        <row r="104">
          <cell r="D104">
            <v>6</v>
          </cell>
        </row>
        <row r="105">
          <cell r="D105">
            <v>6</v>
          </cell>
        </row>
        <row r="106">
          <cell r="D106">
            <v>6</v>
          </cell>
        </row>
        <row r="107">
          <cell r="D107">
            <v>6</v>
          </cell>
        </row>
        <row r="108">
          <cell r="D108">
            <v>6</v>
          </cell>
        </row>
        <row r="109">
          <cell r="D109">
            <v>6</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omon Weldu A2,E1-FevV"/>
      <sheetName val="BEREKET YEMANE-A2,E1-HENOKX"/>
      <sheetName val="SISAY GMARIAM,A2,A2-HENOKX"/>
      <sheetName val="YOKA CONS. A2,E1-YESHITILAX"/>
      <sheetName val="Tesfu Beyen- A2,E1-Fev X"/>
      <sheetName val="Sisay Tedla b.c.- A2,E1-FevX "/>
      <sheetName val="Wendwessen- A2,A1-fevenV "/>
      <sheetName val="Teshale Asrat- E2,E1-YeteshaX"/>
      <sheetName val="Adot con.- A2,E1-YeteshaX"/>
      <sheetName val="Eshetu Yirdaw bc.-A2,E1-TsedeyV"/>
      <sheetName val="Amha Wegayehu- E2,E1-Tsedey"/>
      <sheetName val="Sara B.c.- A2,E1-TsedeyV"/>
      <sheetName val="Seid Abdela-A2,E1-TsedeyV"/>
      <sheetName val="kinfe hailu,e1,a2(dagne)X"/>
      <sheetName val="mathios teshome E1,E2 (dagne)X"/>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 to 08 Ar &amp; St"/>
      <sheetName val="05 Block Summary"/>
      <sheetName val="05 Summary"/>
      <sheetName val="05 Sub Structure BC = 300"/>
      <sheetName val="06 to 08 A-2 300kp Res. Sub St."/>
      <sheetName val="05 RB A-2 300kp Res. Sub St."/>
      <sheetName val="05 A-2 300kp Res. Sup St."/>
      <sheetName val="05 RB A-2 300kp Res. Super St."/>
      <sheetName val="A-2 blcok work Res."/>
      <sheetName val="Structural Steel Works"/>
      <sheetName val="Block C take off"/>
    </sheetNames>
    <sheetDataSet>
      <sheetData sheetId="0" refreshError="1">
        <row r="2">
          <cell r="E2" t="str">
            <v>PROJECT:</v>
          </cell>
        </row>
        <row r="69">
          <cell r="M69">
            <v>6342</v>
          </cell>
        </row>
      </sheetData>
      <sheetData sheetId="1" refreshError="1"/>
      <sheetData sheetId="2">
        <row r="2">
          <cell r="E2" t="str">
            <v>PROJECT:</v>
          </cell>
        </row>
      </sheetData>
      <sheetData sheetId="3">
        <row r="2">
          <cell r="E2" t="str">
            <v>PROJECT:</v>
          </cell>
        </row>
      </sheetData>
      <sheetData sheetId="4" refreshError="1"/>
      <sheetData sheetId="5">
        <row r="2">
          <cell r="E2" t="str">
            <v>PROJECT:</v>
          </cell>
        </row>
      </sheetData>
      <sheetData sheetId="6" refreshError="1"/>
      <sheetData sheetId="7" refreshError="1"/>
      <sheetData sheetId="8">
        <row r="1">
          <cell r="B1" t="str">
            <v>Project: Low Cost Housing Development Project</v>
          </cell>
        </row>
      </sheetData>
      <sheetData sheetId="9"/>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 -1  sub R-bar for 200Kpa "/>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s of Quantities"/>
      <sheetName val="Dayworks Bill"/>
      <sheetName val="Summary of Contract"/>
      <sheetName val="specification"/>
      <sheetName val="Sheet1"/>
      <sheetName val="1300"/>
      <sheetName val="MOTOR"/>
      <sheetName val="Sheet4"/>
      <sheetName val="Cash Flow"/>
      <sheetName val="G+4"/>
      <sheetName val="06 to 08 Ar &amp; St"/>
      <sheetName val="자압"/>
      <sheetName val="RB E-1 300kp SHOP. Sub St."/>
      <sheetName val="Design calc"/>
      <sheetName val="Equipment"/>
      <sheetName val="Material"/>
      <sheetName val="Rates"/>
    </sheetNames>
    <sheetDataSet>
      <sheetData sheetId="0" refreshError="1">
        <row r="17">
          <cell r="O17">
            <v>327.05</v>
          </cell>
        </row>
        <row r="30">
          <cell r="O30">
            <v>13065</v>
          </cell>
        </row>
        <row r="89">
          <cell r="O89">
            <v>77233.5</v>
          </cell>
        </row>
        <row r="126">
          <cell r="O126">
            <v>363006.8</v>
          </cell>
        </row>
        <row r="151">
          <cell r="O151">
            <v>11442</v>
          </cell>
        </row>
        <row r="201">
          <cell r="O201">
            <v>11134045</v>
          </cell>
        </row>
      </sheetData>
      <sheetData sheetId="1"/>
      <sheetData sheetId="2" refreshError="1"/>
      <sheetData sheetId="3">
        <row r="17">
          <cell r="O17">
            <v>327.05</v>
          </cell>
        </row>
      </sheetData>
      <sheetData sheetId="4">
        <row r="17">
          <cell r="O17">
            <v>327.05</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ndows and Door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 Ar &amp; St"/>
      <sheetName val="A-2 blcok work Res."/>
      <sheetName val="05 Sub Structure BC = 300"/>
      <sheetName val="05 RB A-2 300kp Res. Sub St."/>
      <sheetName val="05 Summary"/>
      <sheetName val="05 A-2 300kp Sup S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 &amp; St"/>
      <sheetName val="E-1 200kp  Sup St."/>
      <sheetName val="Block Summary"/>
      <sheetName val="Summary"/>
      <sheetName val="Sub Structure BC = 200"/>
      <sheetName val="E-1 200kp Res. Sub St."/>
      <sheetName val="Excavation data"/>
      <sheetName val="E1 trench &amp; masonary "/>
      <sheetName val="RB E-1 200kp Res. Sub St."/>
      <sheetName val="RB E-1 200kp Res. Super St."/>
      <sheetName val="E-1 Block Work Residence"/>
      <sheetName val="Roofing"/>
      <sheetName val="E-1 Plate Qty old drwg"/>
      <sheetName val="Truss"/>
      <sheetName val="Latice Purlin "/>
      <sheetName val="Plastering for Res."/>
      <sheetName val="E-1 Plate Qty NEW DRWG"/>
      <sheetName val="Truss old drwg"/>
      <sheetName val="Truss new drwg"/>
      <sheetName val="Latice Purlin  Old drwg"/>
      <sheetName val=" Latice Pulin new drwg "/>
    </sheetNames>
    <sheetDataSet>
      <sheetData sheetId="0" refreshError="1">
        <row r="46">
          <cell r="M46">
            <v>197069.65000000002</v>
          </cell>
        </row>
      </sheetData>
      <sheetData sheetId="1" refreshError="1">
        <row r="1">
          <cell r="B1" t="str">
            <v>Project: Low Cost Housing Development Project</v>
          </cell>
        </row>
        <row r="2">
          <cell r="B2" t="str">
            <v>Location: Jemmo II</v>
          </cell>
        </row>
        <row r="3">
          <cell r="B3" t="str">
            <v>Client: Nifasilk Lafto Sub-City</v>
          </cell>
        </row>
        <row r="4">
          <cell r="B4" t="str">
            <v>Contractor: BEHAILU YESEGATE B.C</v>
          </cell>
        </row>
        <row r="5">
          <cell r="B5" t="str">
            <v>Consultant: MGM Consult PLC</v>
          </cell>
        </row>
        <row r="6">
          <cell r="A6" t="str">
            <v>Code</v>
          </cell>
          <cell r="B6" t="str">
            <v>Timizing</v>
          </cell>
          <cell r="E6" t="str">
            <v>Dimension</v>
          </cell>
          <cell r="F6" t="str">
            <v>Qty</v>
          </cell>
        </row>
        <row r="13">
          <cell r="B13">
            <v>1</v>
          </cell>
          <cell r="C13">
            <v>1</v>
          </cell>
          <cell r="D13">
            <v>18</v>
          </cell>
          <cell r="E13">
            <v>0.25</v>
          </cell>
        </row>
        <row r="14">
          <cell r="E14">
            <v>0.4</v>
          </cell>
        </row>
        <row r="15">
          <cell r="E15">
            <v>2.4</v>
          </cell>
        </row>
        <row r="16">
          <cell r="F16">
            <v>4.32</v>
          </cell>
        </row>
        <row r="17">
          <cell r="B17">
            <v>1</v>
          </cell>
          <cell r="C17">
            <v>1</v>
          </cell>
          <cell r="D17">
            <v>6</v>
          </cell>
          <cell r="E17">
            <v>0.3</v>
          </cell>
        </row>
        <row r="18">
          <cell r="E18">
            <v>0.4</v>
          </cell>
        </row>
        <row r="19">
          <cell r="E19">
            <v>2.4</v>
          </cell>
        </row>
        <row r="20">
          <cell r="F20">
            <v>1.73</v>
          </cell>
        </row>
        <row r="22">
          <cell r="B22">
            <v>1</v>
          </cell>
          <cell r="C22">
            <v>3</v>
          </cell>
          <cell r="D22">
            <v>24</v>
          </cell>
          <cell r="E22">
            <v>0.25</v>
          </cell>
        </row>
        <row r="23">
          <cell r="E23">
            <v>0.4</v>
          </cell>
        </row>
        <row r="24">
          <cell r="E24">
            <v>2.4</v>
          </cell>
        </row>
        <row r="25">
          <cell r="F25">
            <v>17.28</v>
          </cell>
        </row>
        <row r="27">
          <cell r="B27">
            <v>1</v>
          </cell>
          <cell r="C27">
            <v>1</v>
          </cell>
          <cell r="D27">
            <v>24</v>
          </cell>
          <cell r="E27">
            <v>0.25</v>
          </cell>
        </row>
        <row r="28">
          <cell r="E28">
            <v>0.4</v>
          </cell>
        </row>
        <row r="29">
          <cell r="E29">
            <v>2.58</v>
          </cell>
        </row>
        <row r="30">
          <cell r="F30">
            <v>6.19</v>
          </cell>
        </row>
        <row r="31">
          <cell r="A31" t="str">
            <v>C1.1a</v>
          </cell>
          <cell r="F31">
            <v>29.520000000000003</v>
          </cell>
        </row>
        <row r="35">
          <cell r="B35">
            <v>1</v>
          </cell>
          <cell r="C35">
            <v>4</v>
          </cell>
          <cell r="D35">
            <v>4</v>
          </cell>
          <cell r="E35">
            <v>8.1999999999999993</v>
          </cell>
        </row>
        <row r="36">
          <cell r="E36">
            <v>0.2</v>
          </cell>
        </row>
        <row r="37">
          <cell r="E37">
            <v>0.48</v>
          </cell>
        </row>
        <row r="38">
          <cell r="F38">
            <v>12.6</v>
          </cell>
        </row>
        <row r="39">
          <cell r="B39">
            <v>1</v>
          </cell>
          <cell r="C39">
            <v>4</v>
          </cell>
          <cell r="D39">
            <v>4</v>
          </cell>
          <cell r="E39">
            <v>9.5300000000000011</v>
          </cell>
        </row>
        <row r="40">
          <cell r="E40">
            <v>0.2</v>
          </cell>
        </row>
        <row r="41">
          <cell r="E41">
            <v>0.48</v>
          </cell>
        </row>
        <row r="42">
          <cell r="F42">
            <v>14.64</v>
          </cell>
        </row>
        <row r="43">
          <cell r="B43">
            <v>1</v>
          </cell>
          <cell r="C43">
            <v>4</v>
          </cell>
          <cell r="D43">
            <v>2</v>
          </cell>
          <cell r="E43">
            <v>30.520000000000003</v>
          </cell>
        </row>
        <row r="44">
          <cell r="E44">
            <v>0.2</v>
          </cell>
        </row>
        <row r="45">
          <cell r="E45">
            <v>0.48</v>
          </cell>
        </row>
        <row r="46">
          <cell r="F46">
            <v>23.44</v>
          </cell>
        </row>
        <row r="47">
          <cell r="B47">
            <v>1</v>
          </cell>
          <cell r="C47">
            <v>4</v>
          </cell>
          <cell r="D47">
            <v>2</v>
          </cell>
          <cell r="E47">
            <v>3.84</v>
          </cell>
        </row>
        <row r="48">
          <cell r="E48">
            <v>0.2</v>
          </cell>
        </row>
        <row r="49">
          <cell r="E49">
            <v>0.48</v>
          </cell>
        </row>
        <row r="50">
          <cell r="F50">
            <v>2.95</v>
          </cell>
        </row>
        <row r="51">
          <cell r="B51">
            <v>1</v>
          </cell>
          <cell r="C51">
            <v>4</v>
          </cell>
          <cell r="D51">
            <v>1</v>
          </cell>
          <cell r="E51">
            <v>9.6999999999999993</v>
          </cell>
        </row>
        <row r="52">
          <cell r="E52">
            <v>0.2</v>
          </cell>
        </row>
        <row r="53">
          <cell r="E53">
            <v>0.48</v>
          </cell>
        </row>
        <row r="54">
          <cell r="F54">
            <v>3.72</v>
          </cell>
        </row>
        <row r="55">
          <cell r="B55">
            <v>1</v>
          </cell>
          <cell r="C55">
            <v>4</v>
          </cell>
          <cell r="D55">
            <v>1</v>
          </cell>
          <cell r="E55">
            <v>3.79</v>
          </cell>
        </row>
        <row r="56">
          <cell r="E56">
            <v>0.2</v>
          </cell>
        </row>
        <row r="57">
          <cell r="E57">
            <v>0.4</v>
          </cell>
        </row>
        <row r="58">
          <cell r="F58">
            <v>1.21</v>
          </cell>
        </row>
        <row r="60">
          <cell r="B60">
            <v>1</v>
          </cell>
          <cell r="C60">
            <v>1</v>
          </cell>
          <cell r="D60">
            <v>18</v>
          </cell>
          <cell r="E60">
            <v>0.25</v>
          </cell>
        </row>
        <row r="61">
          <cell r="E61">
            <v>0.4</v>
          </cell>
        </row>
        <row r="62">
          <cell r="E62">
            <v>0.48</v>
          </cell>
        </row>
        <row r="63">
          <cell r="F63">
            <v>0.86</v>
          </cell>
        </row>
        <row r="64">
          <cell r="B64">
            <v>1</v>
          </cell>
          <cell r="C64">
            <v>1</v>
          </cell>
          <cell r="D64">
            <v>6</v>
          </cell>
          <cell r="E64">
            <v>0.3</v>
          </cell>
        </row>
        <row r="65">
          <cell r="E65">
            <v>0.4</v>
          </cell>
        </row>
        <row r="66">
          <cell r="E66">
            <v>0.48</v>
          </cell>
        </row>
        <row r="67">
          <cell r="F67">
            <v>0.35</v>
          </cell>
        </row>
        <row r="69">
          <cell r="B69">
            <v>1</v>
          </cell>
          <cell r="C69">
            <v>3</v>
          </cell>
          <cell r="D69">
            <v>24</v>
          </cell>
          <cell r="E69">
            <v>0.25</v>
          </cell>
        </row>
        <row r="70">
          <cell r="E70">
            <v>0.4</v>
          </cell>
        </row>
        <row r="71">
          <cell r="E71">
            <v>0.48</v>
          </cell>
        </row>
        <row r="72">
          <cell r="F72">
            <v>3.46</v>
          </cell>
        </row>
        <row r="74">
          <cell r="B74">
            <v>1</v>
          </cell>
          <cell r="C74">
            <v>1</v>
          </cell>
          <cell r="D74">
            <v>4</v>
          </cell>
          <cell r="E74">
            <v>8.1999999999999993</v>
          </cell>
        </row>
        <row r="75">
          <cell r="E75">
            <v>0.2</v>
          </cell>
        </row>
        <row r="76">
          <cell r="E76">
            <v>0.3</v>
          </cell>
        </row>
        <row r="77">
          <cell r="F77">
            <v>1.97</v>
          </cell>
        </row>
        <row r="78">
          <cell r="B78">
            <v>1</v>
          </cell>
          <cell r="C78">
            <v>1</v>
          </cell>
          <cell r="D78">
            <v>4</v>
          </cell>
          <cell r="E78">
            <v>9.5300000000000011</v>
          </cell>
        </row>
        <row r="79">
          <cell r="E79">
            <v>0.2</v>
          </cell>
        </row>
        <row r="80">
          <cell r="E80">
            <v>0.3</v>
          </cell>
        </row>
        <row r="81">
          <cell r="F81">
            <v>2.29</v>
          </cell>
        </row>
        <row r="82">
          <cell r="B82">
            <v>1</v>
          </cell>
          <cell r="C82">
            <v>1</v>
          </cell>
          <cell r="D82">
            <v>2</v>
          </cell>
          <cell r="E82">
            <v>5</v>
          </cell>
        </row>
        <row r="83">
          <cell r="E83">
            <v>0.2</v>
          </cell>
        </row>
        <row r="84">
          <cell r="E84">
            <v>0.3</v>
          </cell>
        </row>
        <row r="85">
          <cell r="F85">
            <v>0.6</v>
          </cell>
        </row>
        <row r="86">
          <cell r="B86">
            <v>1</v>
          </cell>
          <cell r="C86">
            <v>1</v>
          </cell>
          <cell r="D86">
            <v>1</v>
          </cell>
          <cell r="E86">
            <v>9.6999999999999993</v>
          </cell>
        </row>
        <row r="87">
          <cell r="E87">
            <v>0.2</v>
          </cell>
        </row>
        <row r="88">
          <cell r="E88">
            <v>0.3</v>
          </cell>
        </row>
        <row r="89">
          <cell r="F89">
            <v>0.57999999999999996</v>
          </cell>
        </row>
        <row r="90">
          <cell r="B90">
            <v>1</v>
          </cell>
          <cell r="C90">
            <v>1</v>
          </cell>
          <cell r="D90">
            <v>1</v>
          </cell>
          <cell r="E90">
            <v>20.92</v>
          </cell>
        </row>
        <row r="91">
          <cell r="E91">
            <v>0.2</v>
          </cell>
        </row>
        <row r="92">
          <cell r="E92">
            <v>0.3</v>
          </cell>
        </row>
        <row r="93">
          <cell r="F93">
            <v>1.26</v>
          </cell>
        </row>
        <row r="94">
          <cell r="B94">
            <v>1</v>
          </cell>
          <cell r="C94">
            <v>1</v>
          </cell>
          <cell r="D94">
            <v>1</v>
          </cell>
          <cell r="E94">
            <v>3.84</v>
          </cell>
        </row>
        <row r="95">
          <cell r="E95">
            <v>0.2</v>
          </cell>
        </row>
        <row r="96">
          <cell r="E96">
            <v>0.3</v>
          </cell>
        </row>
        <row r="98">
          <cell r="B98">
            <v>1</v>
          </cell>
          <cell r="C98">
            <v>1</v>
          </cell>
          <cell r="D98">
            <v>1</v>
          </cell>
          <cell r="E98">
            <v>9.6</v>
          </cell>
        </row>
        <row r="99">
          <cell r="E99">
            <v>0.2</v>
          </cell>
        </row>
        <row r="100">
          <cell r="E100">
            <v>0.3</v>
          </cell>
        </row>
        <row r="101">
          <cell r="F101">
            <v>0.57999999999999996</v>
          </cell>
        </row>
        <row r="102">
          <cell r="B102">
            <v>1</v>
          </cell>
          <cell r="C102">
            <v>1</v>
          </cell>
          <cell r="D102">
            <v>1</v>
          </cell>
          <cell r="E102">
            <v>17.38</v>
          </cell>
        </row>
        <row r="103">
          <cell r="E103">
            <v>0.2</v>
          </cell>
        </row>
        <row r="104">
          <cell r="E104">
            <v>0.3</v>
          </cell>
        </row>
        <row r="105">
          <cell r="F105">
            <v>1.04</v>
          </cell>
        </row>
        <row r="106">
          <cell r="B106">
            <v>1</v>
          </cell>
          <cell r="C106">
            <v>1</v>
          </cell>
          <cell r="D106">
            <v>1</v>
          </cell>
          <cell r="E106">
            <v>30.520000000000003</v>
          </cell>
        </row>
        <row r="107">
          <cell r="E107">
            <v>0.2</v>
          </cell>
        </row>
        <row r="108">
          <cell r="E108">
            <v>0.3</v>
          </cell>
        </row>
        <row r="109">
          <cell r="F109">
            <v>1.83</v>
          </cell>
        </row>
        <row r="111">
          <cell r="B111">
            <v>1</v>
          </cell>
          <cell r="C111">
            <v>1</v>
          </cell>
          <cell r="D111">
            <v>24</v>
          </cell>
          <cell r="E111">
            <v>0.25</v>
          </cell>
        </row>
        <row r="112">
          <cell r="E112">
            <v>0.4</v>
          </cell>
        </row>
        <row r="113">
          <cell r="E113">
            <v>0.3</v>
          </cell>
        </row>
        <row r="114">
          <cell r="F114">
            <v>0.72</v>
          </cell>
        </row>
        <row r="115">
          <cell r="A115" t="str">
            <v>C1.1b</v>
          </cell>
          <cell r="F115">
            <v>74.099999999999994</v>
          </cell>
        </row>
        <row r="117">
          <cell r="B117">
            <v>1</v>
          </cell>
          <cell r="C117">
            <v>1</v>
          </cell>
          <cell r="D117">
            <v>1</v>
          </cell>
          <cell r="E117">
            <v>2.8795000000000002</v>
          </cell>
        </row>
        <row r="118">
          <cell r="E118">
            <v>1.35</v>
          </cell>
        </row>
        <row r="119">
          <cell r="E119">
            <v>0.15</v>
          </cell>
        </row>
        <row r="120">
          <cell r="F120">
            <v>0.57999999999999996</v>
          </cell>
        </row>
        <row r="121">
          <cell r="B121">
            <v>1</v>
          </cell>
          <cell r="C121">
            <v>1</v>
          </cell>
          <cell r="D121">
            <v>4</v>
          </cell>
          <cell r="E121">
            <v>3.1139999999999999</v>
          </cell>
        </row>
        <row r="122">
          <cell r="E122">
            <v>1.35</v>
          </cell>
        </row>
        <row r="123">
          <cell r="E123">
            <v>0.15</v>
          </cell>
        </row>
        <row r="124">
          <cell r="F124">
            <v>2.52</v>
          </cell>
        </row>
        <row r="125">
          <cell r="B125">
            <v>1</v>
          </cell>
          <cell r="C125">
            <v>1</v>
          </cell>
          <cell r="D125">
            <v>3</v>
          </cell>
          <cell r="E125">
            <v>3.044</v>
          </cell>
        </row>
        <row r="126">
          <cell r="E126">
            <v>1.35</v>
          </cell>
        </row>
        <row r="127">
          <cell r="E127">
            <v>0.15</v>
          </cell>
        </row>
        <row r="128">
          <cell r="F128">
            <v>1.85</v>
          </cell>
        </row>
        <row r="129">
          <cell r="B129">
            <v>1</v>
          </cell>
          <cell r="C129">
            <v>9</v>
          </cell>
          <cell r="D129">
            <v>8</v>
          </cell>
          <cell r="E129">
            <v>0.3</v>
          </cell>
        </row>
        <row r="130">
          <cell r="E130">
            <v>1.35</v>
          </cell>
        </row>
        <row r="131">
          <cell r="E131">
            <v>0.16</v>
          </cell>
        </row>
        <row r="132">
          <cell r="E132">
            <v>0.5</v>
          </cell>
        </row>
        <row r="133">
          <cell r="F133">
            <v>2.33</v>
          </cell>
        </row>
        <row r="134">
          <cell r="B134">
            <v>1</v>
          </cell>
          <cell r="C134">
            <v>1</v>
          </cell>
          <cell r="D134">
            <v>4</v>
          </cell>
          <cell r="E134">
            <v>3.84</v>
          </cell>
        </row>
        <row r="135">
          <cell r="E135">
            <v>0.81499999999999995</v>
          </cell>
        </row>
        <row r="136">
          <cell r="E136">
            <v>0.15</v>
          </cell>
        </row>
        <row r="137">
          <cell r="F137">
            <v>1.88</v>
          </cell>
        </row>
        <row r="138">
          <cell r="B138">
            <v>1</v>
          </cell>
          <cell r="C138">
            <v>1</v>
          </cell>
          <cell r="D138">
            <v>4</v>
          </cell>
          <cell r="E138">
            <v>3.84</v>
          </cell>
        </row>
        <row r="139">
          <cell r="E139">
            <v>0.32350000000000001</v>
          </cell>
        </row>
        <row r="140">
          <cell r="E140">
            <v>0.15</v>
          </cell>
        </row>
        <row r="141">
          <cell r="F141">
            <v>0.75</v>
          </cell>
        </row>
        <row r="142">
          <cell r="B142">
            <v>1</v>
          </cell>
          <cell r="C142">
            <v>1</v>
          </cell>
          <cell r="D142">
            <v>3</v>
          </cell>
          <cell r="E142">
            <v>2.4900000000000002</v>
          </cell>
          <cell r="F142" t="str">
            <v/>
          </cell>
        </row>
        <row r="143">
          <cell r="E143">
            <v>0.39349999999999996</v>
          </cell>
        </row>
        <row r="144">
          <cell r="E144">
            <v>0.15</v>
          </cell>
        </row>
        <row r="145">
          <cell r="F145">
            <v>0.44</v>
          </cell>
        </row>
        <row r="146">
          <cell r="A146" t="str">
            <v>C1.1c</v>
          </cell>
          <cell r="F146">
            <v>10.35</v>
          </cell>
        </row>
        <row r="149">
          <cell r="B149">
            <v>1</v>
          </cell>
          <cell r="C149">
            <v>4</v>
          </cell>
          <cell r="D149">
            <v>26</v>
          </cell>
          <cell r="E149">
            <v>0.51</v>
          </cell>
        </row>
        <row r="150">
          <cell r="E150">
            <v>0.2</v>
          </cell>
        </row>
        <row r="151">
          <cell r="E151">
            <v>0.22</v>
          </cell>
        </row>
        <row r="152">
          <cell r="F152">
            <v>2.33</v>
          </cell>
        </row>
        <row r="153">
          <cell r="B153">
            <v>1</v>
          </cell>
          <cell r="C153">
            <v>4</v>
          </cell>
          <cell r="D153">
            <v>14</v>
          </cell>
          <cell r="E153">
            <v>0.25</v>
          </cell>
        </row>
        <row r="154">
          <cell r="E154">
            <v>0.2</v>
          </cell>
        </row>
        <row r="155">
          <cell r="E155">
            <v>0.22</v>
          </cell>
        </row>
        <row r="156">
          <cell r="F156">
            <v>0.62</v>
          </cell>
        </row>
        <row r="157">
          <cell r="A157" t="str">
            <v>C1.1d</v>
          </cell>
          <cell r="F157">
            <v>2.95</v>
          </cell>
        </row>
        <row r="160">
          <cell r="B160">
            <v>4</v>
          </cell>
          <cell r="C160">
            <v>1</v>
          </cell>
          <cell r="D160">
            <v>1</v>
          </cell>
          <cell r="E160">
            <v>2.2200000000000002</v>
          </cell>
        </row>
        <row r="161">
          <cell r="E161">
            <v>1.7549999999999999</v>
          </cell>
        </row>
        <row r="162">
          <cell r="E162">
            <v>0.06</v>
          </cell>
        </row>
        <row r="163">
          <cell r="F163">
            <v>0.94</v>
          </cell>
        </row>
        <row r="164">
          <cell r="B164">
            <v>4</v>
          </cell>
          <cell r="C164">
            <v>1</v>
          </cell>
          <cell r="D164">
            <v>1</v>
          </cell>
          <cell r="E164">
            <v>1.8149999999999999</v>
          </cell>
        </row>
        <row r="165">
          <cell r="E165">
            <v>1.37</v>
          </cell>
        </row>
        <row r="166">
          <cell r="E166">
            <v>0.06</v>
          </cell>
        </row>
        <row r="167">
          <cell r="F167">
            <v>0.6</v>
          </cell>
        </row>
        <row r="168">
          <cell r="B168">
            <v>4</v>
          </cell>
          <cell r="C168">
            <v>1</v>
          </cell>
          <cell r="D168">
            <v>2</v>
          </cell>
          <cell r="E168">
            <v>2.125</v>
          </cell>
        </row>
        <row r="169">
          <cell r="E169">
            <v>1.61</v>
          </cell>
        </row>
        <row r="170">
          <cell r="E170">
            <v>0.06</v>
          </cell>
        </row>
        <row r="171">
          <cell r="F171">
            <v>1.64</v>
          </cell>
        </row>
        <row r="172">
          <cell r="B172">
            <v>4</v>
          </cell>
          <cell r="C172">
            <v>1</v>
          </cell>
          <cell r="D172">
            <v>1</v>
          </cell>
          <cell r="E172">
            <v>1.61</v>
          </cell>
        </row>
        <row r="173">
          <cell r="E173">
            <v>2.2000000000000002</v>
          </cell>
        </row>
        <row r="174">
          <cell r="E174">
            <v>0.06</v>
          </cell>
        </row>
        <row r="175">
          <cell r="F175">
            <v>0.85</v>
          </cell>
        </row>
        <row r="176">
          <cell r="B176">
            <v>4</v>
          </cell>
          <cell r="C176">
            <v>1</v>
          </cell>
          <cell r="D176">
            <v>1</v>
          </cell>
          <cell r="E176">
            <v>1.41</v>
          </cell>
        </row>
        <row r="177">
          <cell r="E177">
            <v>1.8</v>
          </cell>
        </row>
        <row r="178">
          <cell r="E178">
            <v>0.06</v>
          </cell>
        </row>
        <row r="179">
          <cell r="F179">
            <v>0.61</v>
          </cell>
        </row>
        <row r="180">
          <cell r="A180" t="str">
            <v>C1.1e</v>
          </cell>
          <cell r="F180">
            <v>4.6399999999999997</v>
          </cell>
        </row>
        <row r="183">
          <cell r="B183">
            <v>1</v>
          </cell>
          <cell r="C183">
            <v>1</v>
          </cell>
          <cell r="D183">
            <v>2</v>
          </cell>
          <cell r="E183">
            <v>4.8499999999999996</v>
          </cell>
        </row>
        <row r="184">
          <cell r="E184">
            <v>9</v>
          </cell>
        </row>
        <row r="185">
          <cell r="F185">
            <v>87.3</v>
          </cell>
        </row>
        <row r="186">
          <cell r="B186">
            <v>1</v>
          </cell>
          <cell r="C186">
            <v>1</v>
          </cell>
          <cell r="D186">
            <v>2</v>
          </cell>
          <cell r="E186">
            <v>4.8499999999999996</v>
          </cell>
        </row>
        <row r="187">
          <cell r="E187">
            <v>10.130000000000001</v>
          </cell>
        </row>
        <row r="188">
          <cell r="F188">
            <v>98.26</v>
          </cell>
        </row>
        <row r="189">
          <cell r="B189">
            <v>1</v>
          </cell>
          <cell r="C189">
            <v>1</v>
          </cell>
          <cell r="D189">
            <v>2</v>
          </cell>
          <cell r="E189">
            <v>3.84</v>
          </cell>
        </row>
        <row r="190">
          <cell r="E190">
            <v>9</v>
          </cell>
        </row>
        <row r="191">
          <cell r="F191">
            <v>69.12</v>
          </cell>
        </row>
        <row r="192">
          <cell r="B192">
            <v>1</v>
          </cell>
          <cell r="C192">
            <v>1</v>
          </cell>
          <cell r="D192">
            <v>1</v>
          </cell>
          <cell r="E192">
            <v>3.84</v>
          </cell>
        </row>
        <row r="193">
          <cell r="E193">
            <v>4.51</v>
          </cell>
        </row>
        <row r="194">
          <cell r="F194">
            <v>17.32</v>
          </cell>
        </row>
        <row r="195">
          <cell r="F195">
            <v>272</v>
          </cell>
        </row>
        <row r="197">
          <cell r="B197">
            <v>1</v>
          </cell>
          <cell r="C197">
            <v>1</v>
          </cell>
          <cell r="D197">
            <v>1</v>
          </cell>
          <cell r="E197">
            <v>272</v>
          </cell>
          <cell r="F197">
            <v>272</v>
          </cell>
        </row>
        <row r="198">
          <cell r="A198" t="str">
            <v>C1.2a</v>
          </cell>
          <cell r="F198">
            <v>272</v>
          </cell>
        </row>
        <row r="200">
          <cell r="B200">
            <v>1</v>
          </cell>
          <cell r="C200">
            <v>1</v>
          </cell>
          <cell r="D200">
            <v>1</v>
          </cell>
          <cell r="E200">
            <v>272</v>
          </cell>
          <cell r="F200">
            <v>272</v>
          </cell>
        </row>
        <row r="201">
          <cell r="A201" t="str">
            <v>C1.2b</v>
          </cell>
          <cell r="F201">
            <v>272</v>
          </cell>
        </row>
        <row r="203">
          <cell r="B203">
            <v>1</v>
          </cell>
          <cell r="C203">
            <v>1</v>
          </cell>
          <cell r="D203">
            <v>1</v>
          </cell>
          <cell r="E203">
            <v>272</v>
          </cell>
          <cell r="F203">
            <v>272</v>
          </cell>
        </row>
        <row r="204">
          <cell r="A204" t="str">
            <v>C1.2c</v>
          </cell>
          <cell r="F204">
            <v>272</v>
          </cell>
        </row>
        <row r="206">
          <cell r="B206">
            <v>1</v>
          </cell>
          <cell r="C206">
            <v>1</v>
          </cell>
          <cell r="D206">
            <v>1</v>
          </cell>
          <cell r="E206">
            <v>272</v>
          </cell>
          <cell r="F206">
            <v>272</v>
          </cell>
        </row>
        <row r="207">
          <cell r="A207" t="str">
            <v>C1.2d</v>
          </cell>
          <cell r="F207">
            <v>272</v>
          </cell>
        </row>
        <row r="211">
          <cell r="B211">
            <v>1</v>
          </cell>
          <cell r="C211">
            <v>1</v>
          </cell>
          <cell r="D211">
            <v>4</v>
          </cell>
          <cell r="E211">
            <v>58</v>
          </cell>
        </row>
        <row r="212">
          <cell r="A212" t="str">
            <v>C1.2e</v>
          </cell>
          <cell r="F212">
            <v>232</v>
          </cell>
        </row>
        <row r="215">
          <cell r="B215">
            <v>1</v>
          </cell>
          <cell r="C215">
            <v>1</v>
          </cell>
          <cell r="D215">
            <v>4</v>
          </cell>
          <cell r="E215">
            <v>34</v>
          </cell>
        </row>
        <row r="216">
          <cell r="A216" t="str">
            <v>C1.2f</v>
          </cell>
          <cell r="F216">
            <v>136</v>
          </cell>
        </row>
        <row r="221">
          <cell r="B221">
            <v>1</v>
          </cell>
          <cell r="C221">
            <v>1</v>
          </cell>
          <cell r="D221">
            <v>18</v>
          </cell>
          <cell r="E221">
            <v>1.3</v>
          </cell>
        </row>
        <row r="222">
          <cell r="E222">
            <v>2.4</v>
          </cell>
        </row>
        <row r="223">
          <cell r="F223">
            <v>56.16</v>
          </cell>
        </row>
        <row r="224">
          <cell r="B224">
            <v>1</v>
          </cell>
          <cell r="C224">
            <v>1</v>
          </cell>
          <cell r="D224">
            <v>6</v>
          </cell>
          <cell r="E224">
            <v>1.4</v>
          </cell>
        </row>
        <row r="225">
          <cell r="E225">
            <v>2.4</v>
          </cell>
        </row>
        <row r="226">
          <cell r="F226">
            <v>20.16</v>
          </cell>
        </row>
        <row r="228">
          <cell r="B228">
            <v>1</v>
          </cell>
          <cell r="C228">
            <v>3</v>
          </cell>
          <cell r="D228">
            <v>24</v>
          </cell>
          <cell r="E228">
            <v>1.3</v>
          </cell>
        </row>
        <row r="229">
          <cell r="E229">
            <v>2.4</v>
          </cell>
        </row>
        <row r="230">
          <cell r="F230">
            <v>224.64</v>
          </cell>
        </row>
        <row r="232">
          <cell r="B232">
            <v>1</v>
          </cell>
          <cell r="C232">
            <v>1</v>
          </cell>
          <cell r="D232">
            <v>24</v>
          </cell>
          <cell r="E232">
            <v>1.3</v>
          </cell>
        </row>
        <row r="233">
          <cell r="E233">
            <v>2.58</v>
          </cell>
        </row>
        <row r="234">
          <cell r="F234">
            <v>80.5</v>
          </cell>
        </row>
        <row r="235">
          <cell r="A235" t="str">
            <v>C1.3a</v>
          </cell>
          <cell r="F235">
            <v>381.46</v>
          </cell>
        </row>
        <row r="240">
          <cell r="B240">
            <v>1</v>
          </cell>
          <cell r="C240">
            <v>4</v>
          </cell>
          <cell r="D240">
            <v>2</v>
          </cell>
          <cell r="E240">
            <v>9.4</v>
          </cell>
        </row>
        <row r="241">
          <cell r="E241">
            <v>0.48</v>
          </cell>
        </row>
        <row r="242">
          <cell r="F242">
            <v>36.1</v>
          </cell>
        </row>
        <row r="243">
          <cell r="B243">
            <v>1</v>
          </cell>
          <cell r="C243">
            <v>4</v>
          </cell>
          <cell r="D243">
            <v>2</v>
          </cell>
          <cell r="E243">
            <v>32.520000000000003</v>
          </cell>
        </row>
        <row r="244">
          <cell r="E244">
            <v>0.48</v>
          </cell>
        </row>
        <row r="245">
          <cell r="F245">
            <v>124.88</v>
          </cell>
        </row>
        <row r="246">
          <cell r="B246">
            <v>1</v>
          </cell>
          <cell r="C246">
            <v>4</v>
          </cell>
          <cell r="D246">
            <v>4</v>
          </cell>
          <cell r="E246">
            <v>1.33</v>
          </cell>
        </row>
        <row r="247">
          <cell r="E247">
            <v>0.48</v>
          </cell>
        </row>
        <row r="248">
          <cell r="F248">
            <v>10.210000000000001</v>
          </cell>
        </row>
        <row r="249">
          <cell r="B249">
            <v>1</v>
          </cell>
          <cell r="C249">
            <v>4</v>
          </cell>
          <cell r="D249">
            <v>1</v>
          </cell>
          <cell r="E249">
            <v>3.84</v>
          </cell>
        </row>
        <row r="250">
          <cell r="E250">
            <v>0.48</v>
          </cell>
        </row>
        <row r="251">
          <cell r="F251">
            <v>7.37</v>
          </cell>
        </row>
        <row r="252">
          <cell r="B252">
            <v>1</v>
          </cell>
          <cell r="C252">
            <v>4</v>
          </cell>
          <cell r="D252">
            <v>2</v>
          </cell>
          <cell r="E252">
            <v>4.0999999999999996</v>
          </cell>
        </row>
        <row r="253">
          <cell r="E253">
            <v>0.48</v>
          </cell>
        </row>
        <row r="254">
          <cell r="F254">
            <v>15.74</v>
          </cell>
        </row>
        <row r="256">
          <cell r="B256">
            <v>1</v>
          </cell>
          <cell r="C256">
            <v>4</v>
          </cell>
          <cell r="D256">
            <v>8</v>
          </cell>
          <cell r="E256">
            <v>9</v>
          </cell>
        </row>
        <row r="257">
          <cell r="E257">
            <v>0.2</v>
          </cell>
        </row>
        <row r="258">
          <cell r="F258">
            <v>57.6</v>
          </cell>
        </row>
        <row r="259">
          <cell r="B259">
            <v>1</v>
          </cell>
          <cell r="C259">
            <v>4</v>
          </cell>
          <cell r="D259">
            <v>4</v>
          </cell>
          <cell r="E259">
            <v>10.130000000000001</v>
          </cell>
        </row>
        <row r="260">
          <cell r="E260">
            <v>0.2</v>
          </cell>
        </row>
        <row r="261">
          <cell r="F261">
            <v>32.42</v>
          </cell>
        </row>
        <row r="262">
          <cell r="B262">
            <v>1</v>
          </cell>
          <cell r="C262">
            <v>4</v>
          </cell>
          <cell r="D262">
            <v>2</v>
          </cell>
          <cell r="E262">
            <v>4.5</v>
          </cell>
        </row>
        <row r="263">
          <cell r="E263">
            <v>0.2</v>
          </cell>
        </row>
        <row r="264">
          <cell r="F264">
            <v>7.2</v>
          </cell>
        </row>
        <row r="265">
          <cell r="B265">
            <v>1</v>
          </cell>
          <cell r="C265">
            <v>4</v>
          </cell>
          <cell r="D265">
            <v>1</v>
          </cell>
          <cell r="E265">
            <v>9.6999999999999993</v>
          </cell>
        </row>
        <row r="266">
          <cell r="E266">
            <v>0.2</v>
          </cell>
        </row>
        <row r="267">
          <cell r="F267">
            <v>7.76</v>
          </cell>
        </row>
        <row r="268">
          <cell r="B268">
            <v>1</v>
          </cell>
          <cell r="C268">
            <v>4</v>
          </cell>
          <cell r="D268">
            <v>1</v>
          </cell>
          <cell r="E268">
            <v>40.620000000000005</v>
          </cell>
        </row>
        <row r="269">
          <cell r="E269">
            <v>0.2</v>
          </cell>
        </row>
        <row r="270">
          <cell r="F270">
            <v>32.5</v>
          </cell>
        </row>
        <row r="271">
          <cell r="B271">
            <v>1</v>
          </cell>
          <cell r="C271">
            <v>4</v>
          </cell>
          <cell r="D271">
            <v>2</v>
          </cell>
          <cell r="E271">
            <v>3.84</v>
          </cell>
        </row>
        <row r="272">
          <cell r="E272">
            <v>0.2</v>
          </cell>
        </row>
        <row r="273">
          <cell r="F273">
            <v>6.14</v>
          </cell>
        </row>
        <row r="274">
          <cell r="B274">
            <v>1</v>
          </cell>
          <cell r="C274">
            <v>3</v>
          </cell>
          <cell r="D274">
            <v>1</v>
          </cell>
          <cell r="E274">
            <v>1.35</v>
          </cell>
        </row>
        <row r="275">
          <cell r="E275">
            <v>0.33</v>
          </cell>
        </row>
        <row r="276">
          <cell r="F276">
            <v>1.34</v>
          </cell>
        </row>
        <row r="277">
          <cell r="B277">
            <v>1</v>
          </cell>
          <cell r="C277">
            <v>4</v>
          </cell>
          <cell r="D277">
            <v>1</v>
          </cell>
          <cell r="E277">
            <v>1.35</v>
          </cell>
        </row>
        <row r="278">
          <cell r="E278">
            <v>0.35</v>
          </cell>
        </row>
        <row r="279">
          <cell r="F279">
            <v>1.89</v>
          </cell>
        </row>
        <row r="280">
          <cell r="B280">
            <v>1</v>
          </cell>
          <cell r="C280">
            <v>4</v>
          </cell>
          <cell r="D280">
            <v>1</v>
          </cell>
          <cell r="E280">
            <v>1.1399999999999999</v>
          </cell>
        </row>
        <row r="281">
          <cell r="E281">
            <v>0.33</v>
          </cell>
        </row>
        <row r="282">
          <cell r="F282">
            <v>1.5</v>
          </cell>
        </row>
        <row r="283">
          <cell r="B283">
            <v>1</v>
          </cell>
          <cell r="C283">
            <v>4</v>
          </cell>
          <cell r="D283">
            <v>1</v>
          </cell>
          <cell r="E283">
            <v>30.92</v>
          </cell>
        </row>
        <row r="284">
          <cell r="E284">
            <v>0.2</v>
          </cell>
        </row>
        <row r="285">
          <cell r="F285">
            <v>24.74</v>
          </cell>
        </row>
        <row r="286">
          <cell r="B286">
            <v>1</v>
          </cell>
          <cell r="C286">
            <v>4</v>
          </cell>
          <cell r="D286">
            <v>2</v>
          </cell>
          <cell r="E286">
            <v>1.35</v>
          </cell>
        </row>
        <row r="287">
          <cell r="E287">
            <v>0.25</v>
          </cell>
        </row>
        <row r="288">
          <cell r="F288">
            <v>2.7</v>
          </cell>
        </row>
        <row r="289">
          <cell r="B289">
            <v>1</v>
          </cell>
          <cell r="C289">
            <v>3</v>
          </cell>
          <cell r="D289">
            <v>1</v>
          </cell>
          <cell r="E289">
            <v>1.35</v>
          </cell>
        </row>
        <row r="290">
          <cell r="E290">
            <v>0.23300000000000001</v>
          </cell>
        </row>
        <row r="291">
          <cell r="F291">
            <v>0.94</v>
          </cell>
        </row>
        <row r="292">
          <cell r="B292">
            <v>1</v>
          </cell>
          <cell r="C292">
            <v>4</v>
          </cell>
          <cell r="D292">
            <v>2</v>
          </cell>
          <cell r="E292">
            <v>1.1399999999999999</v>
          </cell>
        </row>
        <row r="293">
          <cell r="E293">
            <v>0.25</v>
          </cell>
        </row>
        <row r="294">
          <cell r="F294">
            <v>2.2799999999999998</v>
          </cell>
        </row>
        <row r="296">
          <cell r="B296">
            <v>1</v>
          </cell>
          <cell r="C296">
            <v>4</v>
          </cell>
          <cell r="D296">
            <v>4</v>
          </cell>
          <cell r="E296">
            <v>8.1999999999999993</v>
          </cell>
        </row>
        <row r="297">
          <cell r="E297">
            <v>0.2</v>
          </cell>
        </row>
        <row r="298">
          <cell r="F298">
            <v>26.24</v>
          </cell>
        </row>
        <row r="299">
          <cell r="B299">
            <v>1</v>
          </cell>
          <cell r="C299">
            <v>4</v>
          </cell>
          <cell r="D299">
            <v>4</v>
          </cell>
          <cell r="E299">
            <v>9.5300000000000011</v>
          </cell>
        </row>
        <row r="300">
          <cell r="E300">
            <v>0.2</v>
          </cell>
        </row>
        <row r="301">
          <cell r="F301">
            <v>30.5</v>
          </cell>
        </row>
        <row r="302">
          <cell r="B302">
            <v>1</v>
          </cell>
          <cell r="C302">
            <v>4</v>
          </cell>
          <cell r="D302">
            <v>1</v>
          </cell>
          <cell r="E302">
            <v>9.6999999999999993</v>
          </cell>
        </row>
        <row r="303">
          <cell r="E303">
            <v>0.2</v>
          </cell>
        </row>
        <row r="304">
          <cell r="F304">
            <v>7.76</v>
          </cell>
        </row>
        <row r="305">
          <cell r="B305">
            <v>1</v>
          </cell>
          <cell r="C305">
            <v>4</v>
          </cell>
          <cell r="D305">
            <v>2</v>
          </cell>
          <cell r="E305">
            <v>30.520000000000003</v>
          </cell>
        </row>
        <row r="306">
          <cell r="E306">
            <v>0.2</v>
          </cell>
        </row>
        <row r="307">
          <cell r="F307">
            <v>48.83</v>
          </cell>
        </row>
        <row r="308">
          <cell r="B308">
            <v>1</v>
          </cell>
          <cell r="C308">
            <v>4</v>
          </cell>
          <cell r="D308">
            <v>2</v>
          </cell>
          <cell r="E308">
            <v>3.84</v>
          </cell>
        </row>
        <row r="309">
          <cell r="E309">
            <v>0.2</v>
          </cell>
        </row>
        <row r="310">
          <cell r="F310">
            <v>6.14</v>
          </cell>
        </row>
        <row r="311">
          <cell r="B311">
            <v>1</v>
          </cell>
          <cell r="C311">
            <v>4</v>
          </cell>
          <cell r="D311">
            <v>1</v>
          </cell>
          <cell r="E311">
            <v>3.84</v>
          </cell>
        </row>
        <row r="312">
          <cell r="E312">
            <v>0.2</v>
          </cell>
        </row>
        <row r="313">
          <cell r="F313">
            <v>3.07</v>
          </cell>
        </row>
        <row r="316">
          <cell r="B316">
            <v>1</v>
          </cell>
          <cell r="C316">
            <v>1</v>
          </cell>
          <cell r="D316">
            <v>1</v>
          </cell>
          <cell r="E316">
            <v>89.16</v>
          </cell>
        </row>
        <row r="317">
          <cell r="E317">
            <v>0.3</v>
          </cell>
        </row>
        <row r="318">
          <cell r="F318">
            <v>26.75</v>
          </cell>
        </row>
        <row r="320">
          <cell r="B320">
            <v>1</v>
          </cell>
          <cell r="C320">
            <v>1</v>
          </cell>
          <cell r="D320">
            <v>2</v>
          </cell>
          <cell r="E320">
            <v>27.7</v>
          </cell>
        </row>
        <row r="321">
          <cell r="E321">
            <v>0.3</v>
          </cell>
        </row>
        <row r="322">
          <cell r="F322">
            <v>16.62</v>
          </cell>
        </row>
        <row r="323">
          <cell r="B323">
            <v>1</v>
          </cell>
          <cell r="C323">
            <v>1</v>
          </cell>
          <cell r="D323">
            <v>2</v>
          </cell>
          <cell r="E323">
            <v>58.559999999999995</v>
          </cell>
        </row>
        <row r="324">
          <cell r="E324">
            <v>0.3</v>
          </cell>
        </row>
        <row r="325">
          <cell r="F325">
            <v>35.14</v>
          </cell>
        </row>
        <row r="326">
          <cell r="B326">
            <v>1</v>
          </cell>
          <cell r="C326">
            <v>1</v>
          </cell>
          <cell r="D326">
            <v>2</v>
          </cell>
          <cell r="E326">
            <v>32.96</v>
          </cell>
        </row>
        <row r="327">
          <cell r="E327">
            <v>0.3</v>
          </cell>
        </row>
        <row r="328">
          <cell r="F328">
            <v>19.78</v>
          </cell>
        </row>
        <row r="330">
          <cell r="B330">
            <v>1</v>
          </cell>
          <cell r="C330">
            <v>1</v>
          </cell>
          <cell r="D330">
            <v>4</v>
          </cell>
          <cell r="E330">
            <v>8.1999999999999993</v>
          </cell>
        </row>
        <row r="331">
          <cell r="E331">
            <v>0.2</v>
          </cell>
        </row>
        <row r="332">
          <cell r="F332">
            <v>6.56</v>
          </cell>
        </row>
        <row r="333">
          <cell r="B333">
            <v>1</v>
          </cell>
          <cell r="C333">
            <v>1</v>
          </cell>
          <cell r="D333">
            <v>4</v>
          </cell>
          <cell r="E333">
            <v>9.5300000000000011</v>
          </cell>
        </row>
        <row r="334">
          <cell r="E334">
            <v>0.2</v>
          </cell>
        </row>
        <row r="335">
          <cell r="F335">
            <v>7.62</v>
          </cell>
        </row>
        <row r="336">
          <cell r="B336">
            <v>1</v>
          </cell>
          <cell r="C336">
            <v>1</v>
          </cell>
          <cell r="D336">
            <v>2</v>
          </cell>
          <cell r="E336">
            <v>5</v>
          </cell>
        </row>
        <row r="337">
          <cell r="E337">
            <v>0.2</v>
          </cell>
        </row>
        <row r="338">
          <cell r="F338">
            <v>2</v>
          </cell>
        </row>
        <row r="339">
          <cell r="B339">
            <v>1</v>
          </cell>
          <cell r="C339">
            <v>1</v>
          </cell>
          <cell r="D339">
            <v>1</v>
          </cell>
          <cell r="E339">
            <v>9.6999999999999993</v>
          </cell>
        </row>
        <row r="340">
          <cell r="E340">
            <v>0.2</v>
          </cell>
        </row>
        <row r="341">
          <cell r="F341">
            <v>1.94</v>
          </cell>
        </row>
        <row r="342">
          <cell r="B342">
            <v>1</v>
          </cell>
          <cell r="C342">
            <v>1</v>
          </cell>
          <cell r="D342">
            <v>1</v>
          </cell>
          <cell r="E342">
            <v>20.92</v>
          </cell>
        </row>
        <row r="343">
          <cell r="E343">
            <v>0.2</v>
          </cell>
        </row>
        <row r="344">
          <cell r="F344">
            <v>4.18</v>
          </cell>
        </row>
        <row r="345">
          <cell r="B345">
            <v>1</v>
          </cell>
          <cell r="C345">
            <v>1</v>
          </cell>
          <cell r="D345">
            <v>1</v>
          </cell>
          <cell r="E345">
            <v>3.84</v>
          </cell>
        </row>
        <row r="346">
          <cell r="E346">
            <v>0.2</v>
          </cell>
        </row>
        <row r="348">
          <cell r="B348">
            <v>1</v>
          </cell>
          <cell r="C348">
            <v>1</v>
          </cell>
          <cell r="D348">
            <v>1</v>
          </cell>
          <cell r="E348">
            <v>9.6</v>
          </cell>
        </row>
        <row r="349">
          <cell r="E349">
            <v>0.2</v>
          </cell>
        </row>
        <row r="350">
          <cell r="F350">
            <v>1.92</v>
          </cell>
        </row>
        <row r="351">
          <cell r="B351">
            <v>1</v>
          </cell>
          <cell r="C351">
            <v>1</v>
          </cell>
          <cell r="D351">
            <v>1</v>
          </cell>
          <cell r="E351">
            <v>17.38</v>
          </cell>
        </row>
        <row r="352">
          <cell r="E352">
            <v>0.2</v>
          </cell>
        </row>
        <row r="353">
          <cell r="F353">
            <v>3.48</v>
          </cell>
        </row>
        <row r="354">
          <cell r="B354">
            <v>1</v>
          </cell>
          <cell r="C354">
            <v>1</v>
          </cell>
          <cell r="D354">
            <v>1</v>
          </cell>
          <cell r="E354">
            <v>30.520000000000003</v>
          </cell>
        </row>
        <row r="355">
          <cell r="E355">
            <v>0.2</v>
          </cell>
        </row>
        <row r="356">
          <cell r="F356">
            <v>6.1</v>
          </cell>
        </row>
        <row r="357">
          <cell r="A357" t="str">
            <v>C1.3b</v>
          </cell>
          <cell r="F357">
            <v>627.93999999999983</v>
          </cell>
        </row>
        <row r="360">
          <cell r="B360">
            <v>1</v>
          </cell>
          <cell r="C360">
            <v>1</v>
          </cell>
          <cell r="D360">
            <v>1</v>
          </cell>
          <cell r="E360">
            <v>1.35</v>
          </cell>
        </row>
        <row r="361">
          <cell r="E361">
            <v>2.7</v>
          </cell>
        </row>
        <row r="362">
          <cell r="F362">
            <v>3.65</v>
          </cell>
        </row>
        <row r="363">
          <cell r="B363">
            <v>1</v>
          </cell>
          <cell r="C363">
            <v>1</v>
          </cell>
          <cell r="D363">
            <v>4</v>
          </cell>
          <cell r="E363">
            <v>1.35</v>
          </cell>
        </row>
        <row r="364">
          <cell r="E364">
            <v>3.1</v>
          </cell>
        </row>
        <row r="365">
          <cell r="F365">
            <v>16.739999999999998</v>
          </cell>
        </row>
        <row r="366">
          <cell r="B366">
            <v>1</v>
          </cell>
          <cell r="C366">
            <v>1</v>
          </cell>
          <cell r="D366">
            <v>3</v>
          </cell>
          <cell r="E366">
            <v>1.35</v>
          </cell>
        </row>
        <row r="367">
          <cell r="E367">
            <v>3.0230000000000001</v>
          </cell>
        </row>
        <row r="368">
          <cell r="F368">
            <v>12.24</v>
          </cell>
        </row>
        <row r="369">
          <cell r="B369">
            <v>1</v>
          </cell>
          <cell r="C369">
            <v>1</v>
          </cell>
          <cell r="D369">
            <v>4</v>
          </cell>
          <cell r="E369">
            <v>0.81499999999999995</v>
          </cell>
        </row>
        <row r="370">
          <cell r="E370">
            <v>3.84</v>
          </cell>
        </row>
        <row r="371">
          <cell r="F371">
            <v>12.52</v>
          </cell>
        </row>
        <row r="372">
          <cell r="B372">
            <v>1</v>
          </cell>
          <cell r="C372">
            <v>1</v>
          </cell>
          <cell r="D372">
            <v>4</v>
          </cell>
          <cell r="E372">
            <v>0.34200000000000003</v>
          </cell>
        </row>
        <row r="373">
          <cell r="E373">
            <v>2.4900000000000002</v>
          </cell>
        </row>
        <row r="374">
          <cell r="F374">
            <v>3.41</v>
          </cell>
        </row>
        <row r="375">
          <cell r="B375">
            <v>1</v>
          </cell>
          <cell r="C375">
            <v>1</v>
          </cell>
          <cell r="D375">
            <v>3</v>
          </cell>
          <cell r="E375">
            <v>0.41199999999999998</v>
          </cell>
        </row>
        <row r="376">
          <cell r="E376">
            <v>2.4900000000000002</v>
          </cell>
        </row>
        <row r="377">
          <cell r="F377">
            <v>3.08</v>
          </cell>
        </row>
        <row r="379">
          <cell r="B379">
            <v>1</v>
          </cell>
          <cell r="C379">
            <v>1</v>
          </cell>
          <cell r="D379">
            <v>2</v>
          </cell>
          <cell r="E379">
            <v>2.88</v>
          </cell>
        </row>
        <row r="380">
          <cell r="E380">
            <v>0.15</v>
          </cell>
        </row>
        <row r="381">
          <cell r="F381">
            <v>0.86</v>
          </cell>
        </row>
        <row r="382">
          <cell r="B382">
            <v>1</v>
          </cell>
          <cell r="C382">
            <v>9</v>
          </cell>
          <cell r="D382">
            <v>2</v>
          </cell>
          <cell r="E382">
            <v>0.3</v>
          </cell>
        </row>
        <row r="383">
          <cell r="E383">
            <v>0.16</v>
          </cell>
        </row>
        <row r="384">
          <cell r="E384">
            <v>0.5</v>
          </cell>
        </row>
        <row r="385">
          <cell r="F385">
            <v>0.43</v>
          </cell>
        </row>
        <row r="386">
          <cell r="B386">
            <v>1</v>
          </cell>
          <cell r="C386">
            <v>4</v>
          </cell>
          <cell r="D386">
            <v>2</v>
          </cell>
          <cell r="E386">
            <v>3.1139999999999999</v>
          </cell>
        </row>
        <row r="387">
          <cell r="E387">
            <v>0.15</v>
          </cell>
        </row>
        <row r="388">
          <cell r="F388">
            <v>3.74</v>
          </cell>
        </row>
        <row r="389">
          <cell r="B389">
            <v>4</v>
          </cell>
          <cell r="C389">
            <v>9</v>
          </cell>
          <cell r="D389">
            <v>2</v>
          </cell>
          <cell r="E389">
            <v>0.3</v>
          </cell>
        </row>
        <row r="390">
          <cell r="E390">
            <v>0.16</v>
          </cell>
        </row>
        <row r="391">
          <cell r="E391">
            <v>0.5</v>
          </cell>
        </row>
        <row r="392">
          <cell r="F392">
            <v>1.73</v>
          </cell>
        </row>
        <row r="393">
          <cell r="B393">
            <v>1</v>
          </cell>
          <cell r="C393">
            <v>3</v>
          </cell>
          <cell r="D393">
            <v>2</v>
          </cell>
          <cell r="E393">
            <v>3.044</v>
          </cell>
        </row>
        <row r="394">
          <cell r="E394">
            <v>0.15</v>
          </cell>
        </row>
        <row r="395">
          <cell r="F395">
            <v>2.74</v>
          </cell>
        </row>
        <row r="396">
          <cell r="B396">
            <v>3</v>
          </cell>
          <cell r="C396">
            <v>9</v>
          </cell>
          <cell r="D396">
            <v>2</v>
          </cell>
          <cell r="E396">
            <v>0.3</v>
          </cell>
        </row>
        <row r="397">
          <cell r="E397">
            <v>0.16</v>
          </cell>
        </row>
        <row r="398">
          <cell r="E398">
            <v>0.5</v>
          </cell>
        </row>
        <row r="399">
          <cell r="F399">
            <v>1.3</v>
          </cell>
        </row>
        <row r="400">
          <cell r="B400">
            <v>1</v>
          </cell>
          <cell r="C400">
            <v>2</v>
          </cell>
          <cell r="D400">
            <v>4</v>
          </cell>
          <cell r="E400">
            <v>0.81499999999999995</v>
          </cell>
        </row>
        <row r="401">
          <cell r="E401">
            <v>0.15</v>
          </cell>
        </row>
        <row r="402">
          <cell r="F402">
            <v>0.98</v>
          </cell>
        </row>
        <row r="403">
          <cell r="B403">
            <v>1</v>
          </cell>
          <cell r="C403">
            <v>1</v>
          </cell>
          <cell r="D403">
            <v>4</v>
          </cell>
          <cell r="E403">
            <v>3.84</v>
          </cell>
        </row>
        <row r="404">
          <cell r="E404">
            <v>0.15</v>
          </cell>
        </row>
        <row r="405">
          <cell r="F405">
            <v>2.2999999999999998</v>
          </cell>
        </row>
        <row r="406">
          <cell r="B406">
            <v>1</v>
          </cell>
          <cell r="C406">
            <v>2</v>
          </cell>
          <cell r="D406">
            <v>4</v>
          </cell>
          <cell r="E406">
            <v>0.32</v>
          </cell>
        </row>
        <row r="407">
          <cell r="E407">
            <v>0.15</v>
          </cell>
        </row>
        <row r="408">
          <cell r="F408">
            <v>0.38</v>
          </cell>
        </row>
        <row r="409">
          <cell r="B409">
            <v>1</v>
          </cell>
          <cell r="C409">
            <v>2</v>
          </cell>
          <cell r="D409">
            <v>3</v>
          </cell>
          <cell r="E409">
            <v>0.39400000000000002</v>
          </cell>
        </row>
        <row r="410">
          <cell r="E410">
            <v>0.15</v>
          </cell>
        </row>
        <row r="411">
          <cell r="F411">
            <v>0.35</v>
          </cell>
        </row>
        <row r="412">
          <cell r="B412">
            <v>1</v>
          </cell>
          <cell r="C412">
            <v>2</v>
          </cell>
          <cell r="D412">
            <v>4</v>
          </cell>
          <cell r="E412">
            <v>1.1399999999999999</v>
          </cell>
        </row>
        <row r="413">
          <cell r="E413">
            <v>0.15</v>
          </cell>
        </row>
        <row r="414">
          <cell r="F414">
            <v>1.37</v>
          </cell>
        </row>
        <row r="415">
          <cell r="B415">
            <v>1</v>
          </cell>
          <cell r="C415">
            <v>1</v>
          </cell>
          <cell r="D415">
            <v>72</v>
          </cell>
          <cell r="E415">
            <v>1.35</v>
          </cell>
        </row>
        <row r="416">
          <cell r="E416">
            <v>0.16</v>
          </cell>
        </row>
        <row r="417">
          <cell r="F417">
            <v>15.55</v>
          </cell>
        </row>
        <row r="418">
          <cell r="A418" t="str">
            <v>C1.3c</v>
          </cell>
          <cell r="F418">
            <v>83.369999999999976</v>
          </cell>
        </row>
        <row r="423">
          <cell r="B423">
            <v>1</v>
          </cell>
          <cell r="C423">
            <v>4</v>
          </cell>
          <cell r="D423">
            <v>26</v>
          </cell>
          <cell r="E423">
            <v>0.51</v>
          </cell>
        </row>
        <row r="424">
          <cell r="E424">
            <v>0.2</v>
          </cell>
        </row>
        <row r="425">
          <cell r="F425">
            <v>10.61</v>
          </cell>
        </row>
        <row r="426">
          <cell r="B426">
            <v>1</v>
          </cell>
          <cell r="C426">
            <v>4</v>
          </cell>
          <cell r="D426">
            <v>14</v>
          </cell>
          <cell r="E426">
            <v>0.25</v>
          </cell>
        </row>
        <row r="427">
          <cell r="E427">
            <v>0.2</v>
          </cell>
        </row>
        <row r="428">
          <cell r="F428">
            <v>2.8</v>
          </cell>
        </row>
        <row r="429">
          <cell r="A429" t="str">
            <v>C1.3d</v>
          </cell>
          <cell r="F429">
            <v>13.41</v>
          </cell>
        </row>
        <row r="434">
          <cell r="A434" t="str">
            <v>C1.4a</v>
          </cell>
          <cell r="F434">
            <v>1325.11</v>
          </cell>
        </row>
        <row r="436">
          <cell r="A436" t="str">
            <v>C1.4b</v>
          </cell>
          <cell r="F436">
            <v>3244.83</v>
          </cell>
        </row>
        <row r="438">
          <cell r="A438" t="str">
            <v>C1.4c</v>
          </cell>
          <cell r="F438">
            <v>519.42999999999995</v>
          </cell>
        </row>
        <row r="440">
          <cell r="A440" t="str">
            <v>C1.4d</v>
          </cell>
          <cell r="F440">
            <v>1694.33</v>
          </cell>
        </row>
        <row r="442">
          <cell r="A442" t="str">
            <v>C1.4e</v>
          </cell>
          <cell r="F442">
            <v>6464.09</v>
          </cell>
        </row>
        <row r="444">
          <cell r="A444" t="str">
            <v>C1.4f</v>
          </cell>
          <cell r="F444">
            <v>6320.54</v>
          </cell>
        </row>
        <row r="446">
          <cell r="A446" t="str">
            <v>C1.4g</v>
          </cell>
          <cell r="F446">
            <v>1690.27</v>
          </cell>
        </row>
      </sheetData>
      <sheetData sheetId="2"/>
      <sheetData sheetId="3">
        <row r="46">
          <cell r="M46">
            <v>197069.65000000002</v>
          </cell>
        </row>
      </sheetData>
      <sheetData sheetId="4"/>
      <sheetData sheetId="5"/>
      <sheetData sheetId="6"/>
      <sheetData sheetId="7"/>
      <sheetData sheetId="8">
        <row r="1">
          <cell r="B1" t="str">
            <v>Project: Low Cost Housing Development Project</v>
          </cell>
        </row>
      </sheetData>
      <sheetData sheetId="9"/>
      <sheetData sheetId="10">
        <row r="1">
          <cell r="B1" t="str">
            <v>Project: Low Cost Housing Development Project</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1 Block Work Residence"/>
      <sheetName val="Block Summary"/>
      <sheetName val="Summary"/>
      <sheetName val="Sub Structure BC = 200"/>
      <sheetName val="Ar &amp; St"/>
      <sheetName val="E-1 200kp Res. Sub St."/>
      <sheetName val="E1 Excavation data"/>
      <sheetName val="Eshetu Y. E1trench&amp;masonary "/>
      <sheetName val="RB E-1 200kp Res. Sub St."/>
      <sheetName val="E-1 200kp  Sup St."/>
      <sheetName val="RB E-1 200kp Res. Super St."/>
    </sheetNames>
    <sheetDataSet>
      <sheetData sheetId="0" refreshError="1">
        <row r="1">
          <cell r="B1" t="str">
            <v>Project: Low Cost Housing Development Project</v>
          </cell>
        </row>
        <row r="2">
          <cell r="B2" t="str">
            <v>Location: Jemmo II</v>
          </cell>
        </row>
        <row r="3">
          <cell r="B3" t="str">
            <v>Client: Nifasilk Lafto Sub-City</v>
          </cell>
        </row>
        <row r="4">
          <cell r="B4" t="str">
            <v>Contractor: ESHETU YIRDAW B.C</v>
          </cell>
        </row>
        <row r="5">
          <cell r="B5" t="str">
            <v>Consultant: MGM Consult PLC</v>
          </cell>
        </row>
        <row r="6">
          <cell r="A6" t="str">
            <v>Code</v>
          </cell>
          <cell r="B6" t="str">
            <v>Timizing</v>
          </cell>
          <cell r="E6" t="str">
            <v>Dimension</v>
          </cell>
          <cell r="F6" t="str">
            <v>Qty</v>
          </cell>
        </row>
        <row r="11">
          <cell r="B11">
            <v>1</v>
          </cell>
          <cell r="C11">
            <v>4</v>
          </cell>
          <cell r="D11">
            <v>2</v>
          </cell>
          <cell r="E11">
            <v>8.1999999999999993</v>
          </cell>
        </row>
        <row r="12">
          <cell r="E12">
            <v>2.4</v>
          </cell>
        </row>
        <row r="13">
          <cell r="F13">
            <v>157.44</v>
          </cell>
        </row>
        <row r="14">
          <cell r="B14">
            <v>1</v>
          </cell>
          <cell r="C14">
            <v>4</v>
          </cell>
          <cell r="D14">
            <v>1</v>
          </cell>
          <cell r="E14">
            <v>3.83</v>
          </cell>
        </row>
        <row r="15">
          <cell r="E15">
            <v>2.4</v>
          </cell>
        </row>
        <row r="16">
          <cell r="F16">
            <v>36.770000000000003</v>
          </cell>
        </row>
        <row r="17">
          <cell r="B17">
            <v>1</v>
          </cell>
          <cell r="C17">
            <v>4</v>
          </cell>
          <cell r="D17">
            <v>1</v>
          </cell>
          <cell r="E17">
            <v>4.0999999999999996</v>
          </cell>
        </row>
        <row r="18">
          <cell r="E18">
            <v>2.4</v>
          </cell>
        </row>
        <row r="19">
          <cell r="F19">
            <v>39.36</v>
          </cell>
        </row>
        <row r="20">
          <cell r="B20">
            <v>1</v>
          </cell>
          <cell r="C20">
            <v>4</v>
          </cell>
          <cell r="D20">
            <v>2</v>
          </cell>
          <cell r="E20">
            <v>0.33</v>
          </cell>
        </row>
        <row r="21">
          <cell r="E21">
            <v>2.6</v>
          </cell>
        </row>
        <row r="22">
          <cell r="F22">
            <v>6.86</v>
          </cell>
        </row>
        <row r="23">
          <cell r="B23">
            <v>1</v>
          </cell>
          <cell r="C23">
            <v>4</v>
          </cell>
          <cell r="D23">
            <v>2</v>
          </cell>
          <cell r="E23">
            <v>8.14</v>
          </cell>
        </row>
        <row r="24">
          <cell r="E24">
            <v>2.4</v>
          </cell>
        </row>
        <row r="25">
          <cell r="F25">
            <v>156.29</v>
          </cell>
        </row>
        <row r="26">
          <cell r="B26">
            <v>1</v>
          </cell>
          <cell r="C26">
            <v>4</v>
          </cell>
          <cell r="D26">
            <v>2</v>
          </cell>
          <cell r="E26">
            <v>4.4099999999999993</v>
          </cell>
        </row>
        <row r="27">
          <cell r="E27">
            <v>2.4</v>
          </cell>
        </row>
        <row r="28">
          <cell r="F28">
            <v>84.67</v>
          </cell>
        </row>
        <row r="29">
          <cell r="B29">
            <v>1</v>
          </cell>
          <cell r="C29">
            <v>4</v>
          </cell>
          <cell r="D29">
            <v>1</v>
          </cell>
          <cell r="E29">
            <v>2.75</v>
          </cell>
        </row>
        <row r="30">
          <cell r="E30">
            <v>2.6</v>
          </cell>
        </row>
        <row r="31">
          <cell r="F31">
            <v>28.6</v>
          </cell>
        </row>
        <row r="32">
          <cell r="B32">
            <v>1</v>
          </cell>
          <cell r="C32">
            <v>4</v>
          </cell>
          <cell r="D32">
            <v>1</v>
          </cell>
          <cell r="E32">
            <v>3.5</v>
          </cell>
        </row>
        <row r="33">
          <cell r="E33">
            <v>2.6</v>
          </cell>
        </row>
        <row r="34">
          <cell r="F34">
            <v>36.4</v>
          </cell>
        </row>
        <row r="35">
          <cell r="B35">
            <v>1</v>
          </cell>
          <cell r="C35">
            <v>4</v>
          </cell>
          <cell r="D35">
            <v>1</v>
          </cell>
          <cell r="E35">
            <v>7</v>
          </cell>
        </row>
        <row r="36">
          <cell r="E36">
            <v>2.4</v>
          </cell>
        </row>
        <row r="37">
          <cell r="F37">
            <v>67.2</v>
          </cell>
        </row>
        <row r="38">
          <cell r="B38">
            <v>1</v>
          </cell>
          <cell r="C38">
            <v>4</v>
          </cell>
          <cell r="D38">
            <v>1</v>
          </cell>
          <cell r="E38">
            <v>23.980000000000004</v>
          </cell>
        </row>
        <row r="39">
          <cell r="E39">
            <v>2.4</v>
          </cell>
        </row>
        <row r="40">
          <cell r="F40">
            <v>230.21</v>
          </cell>
        </row>
        <row r="41">
          <cell r="B41">
            <v>1</v>
          </cell>
          <cell r="C41">
            <v>4</v>
          </cell>
          <cell r="D41">
            <v>1</v>
          </cell>
          <cell r="E41">
            <v>3.84</v>
          </cell>
        </row>
        <row r="42">
          <cell r="E42">
            <v>2.4</v>
          </cell>
        </row>
        <row r="43">
          <cell r="F43">
            <v>36.86</v>
          </cell>
        </row>
        <row r="44">
          <cell r="B44">
            <v>1</v>
          </cell>
          <cell r="C44">
            <v>4</v>
          </cell>
          <cell r="D44">
            <v>1</v>
          </cell>
          <cell r="E44">
            <v>1.95</v>
          </cell>
        </row>
        <row r="45">
          <cell r="E45">
            <v>2.6</v>
          </cell>
        </row>
        <row r="46">
          <cell r="F46">
            <v>20.28</v>
          </cell>
        </row>
        <row r="47">
          <cell r="B47">
            <v>1</v>
          </cell>
          <cell r="C47">
            <v>4</v>
          </cell>
          <cell r="D47">
            <v>1</v>
          </cell>
          <cell r="E47">
            <v>4.78</v>
          </cell>
        </row>
        <row r="48">
          <cell r="E48">
            <v>2.6</v>
          </cell>
        </row>
        <row r="49">
          <cell r="F49">
            <v>49.71</v>
          </cell>
        </row>
        <row r="50">
          <cell r="B50">
            <v>1</v>
          </cell>
          <cell r="C50">
            <v>4</v>
          </cell>
          <cell r="D50">
            <v>1</v>
          </cell>
          <cell r="E50">
            <v>14.18</v>
          </cell>
        </row>
        <row r="51">
          <cell r="E51">
            <v>2.6</v>
          </cell>
        </row>
        <row r="52">
          <cell r="F52">
            <v>147.47</v>
          </cell>
        </row>
        <row r="53">
          <cell r="B53">
            <v>1</v>
          </cell>
          <cell r="C53">
            <v>4</v>
          </cell>
          <cell r="D53">
            <v>1</v>
          </cell>
          <cell r="E53">
            <v>9.56</v>
          </cell>
        </row>
        <row r="54">
          <cell r="E54">
            <v>2.4</v>
          </cell>
        </row>
        <row r="55">
          <cell r="F55">
            <v>91.78</v>
          </cell>
        </row>
        <row r="56">
          <cell r="B56">
            <v>1</v>
          </cell>
          <cell r="C56">
            <v>4</v>
          </cell>
          <cell r="D56">
            <v>1</v>
          </cell>
          <cell r="E56">
            <v>26.33</v>
          </cell>
        </row>
        <row r="57">
          <cell r="E57">
            <v>0.9</v>
          </cell>
        </row>
        <row r="58">
          <cell r="F58">
            <v>94.79</v>
          </cell>
        </row>
        <row r="60">
          <cell r="B60">
            <v>-1</v>
          </cell>
          <cell r="C60">
            <v>4</v>
          </cell>
          <cell r="D60">
            <v>6</v>
          </cell>
          <cell r="E60">
            <v>0.6</v>
          </cell>
        </row>
        <row r="61">
          <cell r="E61">
            <v>0.6</v>
          </cell>
        </row>
        <row r="62">
          <cell r="F62">
            <v>-8.64</v>
          </cell>
        </row>
        <row r="63">
          <cell r="B63">
            <v>-1</v>
          </cell>
          <cell r="C63">
            <v>4</v>
          </cell>
          <cell r="D63">
            <v>5</v>
          </cell>
          <cell r="E63">
            <v>1</v>
          </cell>
        </row>
        <row r="64">
          <cell r="E64">
            <v>1.5</v>
          </cell>
        </row>
        <row r="65">
          <cell r="F65">
            <v>-30</v>
          </cell>
        </row>
        <row r="66">
          <cell r="B66">
            <v>-1</v>
          </cell>
          <cell r="C66">
            <v>4</v>
          </cell>
          <cell r="D66">
            <v>9</v>
          </cell>
          <cell r="E66">
            <v>1.2</v>
          </cell>
        </row>
        <row r="67">
          <cell r="E67">
            <v>1.5</v>
          </cell>
        </row>
        <row r="68">
          <cell r="F68">
            <v>-64.8</v>
          </cell>
        </row>
        <row r="69">
          <cell r="B69">
            <v>-1</v>
          </cell>
          <cell r="C69">
            <v>4</v>
          </cell>
          <cell r="D69">
            <v>6</v>
          </cell>
          <cell r="E69">
            <v>1.5</v>
          </cell>
        </row>
        <row r="70">
          <cell r="E70">
            <v>1.5</v>
          </cell>
        </row>
        <row r="71">
          <cell r="F71">
            <v>-54</v>
          </cell>
        </row>
        <row r="73">
          <cell r="B73">
            <v>1</v>
          </cell>
          <cell r="C73">
            <v>1</v>
          </cell>
          <cell r="D73">
            <v>2</v>
          </cell>
          <cell r="E73">
            <v>8.1999999999999993</v>
          </cell>
        </row>
        <row r="74">
          <cell r="E74">
            <v>2.58</v>
          </cell>
        </row>
        <row r="75">
          <cell r="F75">
            <v>42.31</v>
          </cell>
        </row>
        <row r="76">
          <cell r="B76">
            <v>1</v>
          </cell>
          <cell r="C76">
            <v>1</v>
          </cell>
          <cell r="D76">
            <v>1</v>
          </cell>
          <cell r="E76">
            <v>3.83</v>
          </cell>
        </row>
        <row r="77">
          <cell r="E77">
            <v>2.58</v>
          </cell>
        </row>
        <row r="78">
          <cell r="F78">
            <v>9.8800000000000008</v>
          </cell>
        </row>
        <row r="79">
          <cell r="B79">
            <v>1</v>
          </cell>
          <cell r="C79">
            <v>1</v>
          </cell>
          <cell r="D79">
            <v>1</v>
          </cell>
          <cell r="E79">
            <v>4.0999999999999996</v>
          </cell>
        </row>
        <row r="80">
          <cell r="E80">
            <v>2.58</v>
          </cell>
        </row>
        <row r="81">
          <cell r="F81">
            <v>10.58</v>
          </cell>
        </row>
        <row r="82">
          <cell r="B82">
            <v>1</v>
          </cell>
          <cell r="C82">
            <v>1</v>
          </cell>
          <cell r="D82">
            <v>2</v>
          </cell>
          <cell r="E82">
            <v>0.53</v>
          </cell>
        </row>
        <row r="83">
          <cell r="E83">
            <v>2.58</v>
          </cell>
        </row>
        <row r="84">
          <cell r="F84">
            <v>2.73</v>
          </cell>
        </row>
        <row r="85">
          <cell r="B85">
            <v>1</v>
          </cell>
          <cell r="C85">
            <v>1</v>
          </cell>
          <cell r="D85">
            <v>2</v>
          </cell>
          <cell r="E85">
            <v>8.14</v>
          </cell>
        </row>
        <row r="86">
          <cell r="E86">
            <v>2.58</v>
          </cell>
        </row>
        <row r="87">
          <cell r="F87">
            <v>42</v>
          </cell>
        </row>
        <row r="88">
          <cell r="B88">
            <v>1</v>
          </cell>
          <cell r="C88">
            <v>1</v>
          </cell>
          <cell r="D88">
            <v>2</v>
          </cell>
          <cell r="E88">
            <v>4.4099999999999993</v>
          </cell>
        </row>
        <row r="89">
          <cell r="E89">
            <v>2.58</v>
          </cell>
        </row>
        <row r="90">
          <cell r="F90">
            <v>22.76</v>
          </cell>
        </row>
        <row r="91">
          <cell r="B91">
            <v>1</v>
          </cell>
          <cell r="C91">
            <v>1</v>
          </cell>
          <cell r="D91">
            <v>1</v>
          </cell>
          <cell r="E91">
            <v>2.75</v>
          </cell>
        </row>
        <row r="92">
          <cell r="E92">
            <v>2.88</v>
          </cell>
        </row>
        <row r="93">
          <cell r="F93">
            <v>7.92</v>
          </cell>
        </row>
        <row r="94">
          <cell r="B94">
            <v>1</v>
          </cell>
          <cell r="C94">
            <v>1</v>
          </cell>
          <cell r="D94">
            <v>1</v>
          </cell>
          <cell r="E94">
            <v>3.5</v>
          </cell>
        </row>
        <row r="95">
          <cell r="E95">
            <v>2.88</v>
          </cell>
        </row>
        <row r="96">
          <cell r="F96">
            <v>10.08</v>
          </cell>
        </row>
        <row r="97">
          <cell r="B97">
            <v>1</v>
          </cell>
          <cell r="C97">
            <v>1</v>
          </cell>
          <cell r="D97">
            <v>1</v>
          </cell>
          <cell r="E97">
            <v>6.6</v>
          </cell>
        </row>
        <row r="98">
          <cell r="E98">
            <v>2.58</v>
          </cell>
        </row>
        <row r="99">
          <cell r="F99">
            <v>17.03</v>
          </cell>
        </row>
        <row r="100">
          <cell r="B100">
            <v>1</v>
          </cell>
          <cell r="C100">
            <v>1</v>
          </cell>
          <cell r="D100">
            <v>1</v>
          </cell>
          <cell r="E100">
            <v>20.93</v>
          </cell>
        </row>
        <row r="101">
          <cell r="E101">
            <v>2.58</v>
          </cell>
        </row>
        <row r="102">
          <cell r="F102">
            <v>54</v>
          </cell>
        </row>
        <row r="103">
          <cell r="B103">
            <v>1</v>
          </cell>
          <cell r="C103">
            <v>1</v>
          </cell>
          <cell r="D103">
            <v>1</v>
          </cell>
          <cell r="E103">
            <v>3.06</v>
          </cell>
        </row>
        <row r="104">
          <cell r="E104">
            <v>2.88</v>
          </cell>
        </row>
        <row r="105">
          <cell r="F105">
            <v>8.81</v>
          </cell>
        </row>
        <row r="106">
          <cell r="B106">
            <v>1</v>
          </cell>
          <cell r="C106">
            <v>1</v>
          </cell>
          <cell r="D106">
            <v>1</v>
          </cell>
          <cell r="E106">
            <v>3.84</v>
          </cell>
        </row>
        <row r="107">
          <cell r="E107">
            <v>2.58</v>
          </cell>
        </row>
        <row r="108">
          <cell r="F108">
            <v>9.91</v>
          </cell>
        </row>
        <row r="109">
          <cell r="B109">
            <v>1</v>
          </cell>
          <cell r="C109">
            <v>1</v>
          </cell>
          <cell r="D109">
            <v>1</v>
          </cell>
          <cell r="E109">
            <v>1.95</v>
          </cell>
        </row>
        <row r="110">
          <cell r="E110">
            <v>2.88</v>
          </cell>
        </row>
        <row r="111">
          <cell r="F111">
            <v>5.62</v>
          </cell>
        </row>
        <row r="112">
          <cell r="B112">
            <v>1</v>
          </cell>
          <cell r="C112">
            <v>1</v>
          </cell>
          <cell r="D112">
            <v>1</v>
          </cell>
          <cell r="E112">
            <v>4.78</v>
          </cell>
        </row>
        <row r="113">
          <cell r="E113">
            <v>2.58</v>
          </cell>
        </row>
        <row r="114">
          <cell r="F114">
            <v>12.33</v>
          </cell>
        </row>
        <row r="115">
          <cell r="B115">
            <v>1</v>
          </cell>
          <cell r="C115">
            <v>1</v>
          </cell>
          <cell r="D115">
            <v>1</v>
          </cell>
          <cell r="E115">
            <v>14.18</v>
          </cell>
        </row>
        <row r="116">
          <cell r="E116">
            <v>2.58</v>
          </cell>
        </row>
        <row r="117">
          <cell r="F117">
            <v>36.58</v>
          </cell>
        </row>
        <row r="118">
          <cell r="B118">
            <v>1</v>
          </cell>
          <cell r="C118">
            <v>1</v>
          </cell>
          <cell r="D118">
            <v>1</v>
          </cell>
          <cell r="E118">
            <v>9.56</v>
          </cell>
        </row>
        <row r="119">
          <cell r="E119">
            <v>2.58</v>
          </cell>
        </row>
        <row r="120">
          <cell r="F120">
            <v>24.66</v>
          </cell>
        </row>
        <row r="121">
          <cell r="B121">
            <v>1</v>
          </cell>
          <cell r="C121">
            <v>1</v>
          </cell>
          <cell r="D121">
            <v>1</v>
          </cell>
          <cell r="E121">
            <v>26.33</v>
          </cell>
        </row>
        <row r="122">
          <cell r="E122">
            <v>0.9</v>
          </cell>
        </row>
        <row r="123">
          <cell r="F123">
            <v>23.7</v>
          </cell>
        </row>
        <row r="125">
          <cell r="B125">
            <v>-1</v>
          </cell>
          <cell r="C125">
            <v>1</v>
          </cell>
          <cell r="D125">
            <v>6</v>
          </cell>
          <cell r="E125">
            <v>0.6</v>
          </cell>
        </row>
        <row r="126">
          <cell r="E126">
            <v>0.6</v>
          </cell>
        </row>
        <row r="127">
          <cell r="F127">
            <v>-2.16</v>
          </cell>
        </row>
        <row r="128">
          <cell r="B128">
            <v>-1</v>
          </cell>
          <cell r="C128">
            <v>1</v>
          </cell>
          <cell r="D128">
            <v>5</v>
          </cell>
          <cell r="E128">
            <v>1</v>
          </cell>
        </row>
        <row r="129">
          <cell r="E129">
            <v>1.5</v>
          </cell>
        </row>
        <row r="130">
          <cell r="F130">
            <v>-7.5</v>
          </cell>
        </row>
        <row r="131">
          <cell r="B131">
            <v>-1</v>
          </cell>
          <cell r="C131">
            <v>1</v>
          </cell>
          <cell r="D131">
            <v>9</v>
          </cell>
          <cell r="E131">
            <v>1.2</v>
          </cell>
        </row>
        <row r="132">
          <cell r="E132">
            <v>1.5</v>
          </cell>
        </row>
        <row r="133">
          <cell r="F133">
            <v>-16.2</v>
          </cell>
        </row>
        <row r="134">
          <cell r="B134">
            <v>-1</v>
          </cell>
          <cell r="C134">
            <v>1</v>
          </cell>
          <cell r="D134">
            <v>6</v>
          </cell>
          <cell r="E134">
            <v>1.5</v>
          </cell>
        </row>
        <row r="135">
          <cell r="E135">
            <v>1.5</v>
          </cell>
        </row>
        <row r="136">
          <cell r="F136">
            <v>-13.5</v>
          </cell>
        </row>
        <row r="137">
          <cell r="A137" t="str">
            <v>B2.1</v>
          </cell>
          <cell r="F137">
            <v>1428.7899999999997</v>
          </cell>
        </row>
        <row r="141">
          <cell r="B141">
            <v>1</v>
          </cell>
          <cell r="C141">
            <v>4</v>
          </cell>
          <cell r="D141">
            <v>1</v>
          </cell>
          <cell r="E141">
            <v>2.25</v>
          </cell>
        </row>
        <row r="142">
          <cell r="E142">
            <v>2.6</v>
          </cell>
        </row>
        <row r="143">
          <cell r="F143">
            <v>23.4</v>
          </cell>
        </row>
        <row r="144">
          <cell r="B144">
            <v>1</v>
          </cell>
          <cell r="C144">
            <v>4</v>
          </cell>
          <cell r="D144">
            <v>2</v>
          </cell>
          <cell r="E144">
            <v>3.0700000000000003</v>
          </cell>
        </row>
        <row r="145">
          <cell r="E145">
            <v>2.6</v>
          </cell>
        </row>
        <row r="146">
          <cell r="F146">
            <v>63.86</v>
          </cell>
        </row>
        <row r="147">
          <cell r="B147">
            <v>1</v>
          </cell>
          <cell r="C147">
            <v>4</v>
          </cell>
          <cell r="D147">
            <v>2</v>
          </cell>
          <cell r="E147">
            <v>1.55</v>
          </cell>
        </row>
        <row r="148">
          <cell r="E148">
            <v>2.4</v>
          </cell>
        </row>
        <row r="149">
          <cell r="F149">
            <v>29.76</v>
          </cell>
        </row>
        <row r="150">
          <cell r="B150">
            <v>1</v>
          </cell>
          <cell r="C150">
            <v>4</v>
          </cell>
          <cell r="D150">
            <v>1</v>
          </cell>
          <cell r="E150">
            <v>4.1100000000000003</v>
          </cell>
        </row>
        <row r="151">
          <cell r="E151">
            <v>2.6</v>
          </cell>
        </row>
        <row r="152">
          <cell r="F152">
            <v>42.74</v>
          </cell>
        </row>
        <row r="153">
          <cell r="B153">
            <v>1</v>
          </cell>
          <cell r="C153">
            <v>4</v>
          </cell>
          <cell r="D153">
            <v>1</v>
          </cell>
          <cell r="E153">
            <v>2.9000000000000004</v>
          </cell>
        </row>
        <row r="154">
          <cell r="E154">
            <v>2.6</v>
          </cell>
        </row>
        <row r="155">
          <cell r="F155">
            <v>30.16</v>
          </cell>
        </row>
        <row r="156">
          <cell r="B156">
            <v>1</v>
          </cell>
          <cell r="C156">
            <v>4</v>
          </cell>
          <cell r="D156">
            <v>1</v>
          </cell>
          <cell r="E156">
            <v>2.25</v>
          </cell>
        </row>
        <row r="157">
          <cell r="E157">
            <v>2.4</v>
          </cell>
        </row>
        <row r="158">
          <cell r="F158">
            <v>21.6</v>
          </cell>
        </row>
        <row r="159">
          <cell r="B159">
            <v>1</v>
          </cell>
          <cell r="C159">
            <v>4</v>
          </cell>
          <cell r="D159">
            <v>1</v>
          </cell>
          <cell r="E159">
            <v>2.99</v>
          </cell>
        </row>
        <row r="160">
          <cell r="E160">
            <v>2.6</v>
          </cell>
        </row>
        <row r="161">
          <cell r="F161">
            <v>31.1</v>
          </cell>
        </row>
        <row r="163">
          <cell r="B163">
            <v>1</v>
          </cell>
          <cell r="C163">
            <v>1</v>
          </cell>
          <cell r="D163">
            <v>1</v>
          </cell>
          <cell r="E163">
            <v>2.25</v>
          </cell>
        </row>
        <row r="164">
          <cell r="E164">
            <v>2.88</v>
          </cell>
        </row>
        <row r="165">
          <cell r="F165">
            <v>6.48</v>
          </cell>
        </row>
        <row r="166">
          <cell r="B166">
            <v>1</v>
          </cell>
          <cell r="C166">
            <v>1</v>
          </cell>
          <cell r="D166">
            <v>2</v>
          </cell>
          <cell r="E166">
            <v>5.5</v>
          </cell>
        </row>
        <row r="167">
          <cell r="E167">
            <v>2.88</v>
          </cell>
        </row>
        <row r="168">
          <cell r="F168">
            <v>31.68</v>
          </cell>
        </row>
        <row r="169">
          <cell r="B169">
            <v>1</v>
          </cell>
          <cell r="C169">
            <v>1</v>
          </cell>
          <cell r="D169">
            <v>2</v>
          </cell>
          <cell r="E169">
            <v>1.55</v>
          </cell>
        </row>
        <row r="170">
          <cell r="E170">
            <v>2.58</v>
          </cell>
        </row>
        <row r="171">
          <cell r="F171">
            <v>8</v>
          </cell>
        </row>
        <row r="172">
          <cell r="B172">
            <v>1</v>
          </cell>
          <cell r="C172">
            <v>1</v>
          </cell>
          <cell r="D172">
            <v>1</v>
          </cell>
          <cell r="E172">
            <v>8.1100000000000012</v>
          </cell>
        </row>
        <row r="173">
          <cell r="E173">
            <v>2.88</v>
          </cell>
        </row>
        <row r="174">
          <cell r="F174">
            <v>23.36</v>
          </cell>
        </row>
        <row r="175">
          <cell r="B175">
            <v>1</v>
          </cell>
          <cell r="C175">
            <v>1</v>
          </cell>
          <cell r="D175">
            <v>1</v>
          </cell>
          <cell r="E175">
            <v>9.65</v>
          </cell>
        </row>
        <row r="176">
          <cell r="E176">
            <v>2.88</v>
          </cell>
        </row>
        <row r="177">
          <cell r="F177">
            <v>27.79</v>
          </cell>
        </row>
        <row r="178">
          <cell r="B178">
            <v>1</v>
          </cell>
          <cell r="C178">
            <v>1</v>
          </cell>
          <cell r="D178">
            <v>1</v>
          </cell>
          <cell r="E178">
            <v>2.25</v>
          </cell>
        </row>
        <row r="179">
          <cell r="E179">
            <v>2.58</v>
          </cell>
        </row>
        <row r="180">
          <cell r="F180">
            <v>5.81</v>
          </cell>
        </row>
        <row r="181">
          <cell r="B181">
            <v>1</v>
          </cell>
          <cell r="C181">
            <v>1</v>
          </cell>
          <cell r="D181">
            <v>1</v>
          </cell>
          <cell r="E181">
            <v>16.849999999999998</v>
          </cell>
        </row>
        <row r="182">
          <cell r="E182">
            <v>2.88</v>
          </cell>
        </row>
        <row r="183">
          <cell r="F183">
            <v>48.53</v>
          </cell>
        </row>
        <row r="184">
          <cell r="A184" t="str">
            <v>B2.3</v>
          </cell>
          <cell r="F184">
            <v>394.27</v>
          </cell>
        </row>
      </sheetData>
      <sheetData sheetId="1"/>
      <sheetData sheetId="2"/>
      <sheetData sheetId="3"/>
      <sheetData sheetId="4"/>
      <sheetData sheetId="5"/>
      <sheetData sheetId="6"/>
      <sheetData sheetId="7"/>
      <sheetData sheetId="8"/>
      <sheetData sheetId="9"/>
      <sheetData sheetId="10">
        <row r="1">
          <cell r="B1" t="str">
            <v>Project: Low Cost Housing Development Project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308"/>
      <sheetName val="308m2"/>
      <sheetName val="price"/>
      <sheetName val="PROJECT TRACKING"/>
      <sheetName val="wa"/>
      <sheetName val="Break Down  "/>
      <sheetName val="Aca. Off - I"/>
      <sheetName val="Date"/>
      <sheetName val="Sheet2"/>
      <sheetName val="Break_Down__7"/>
      <sheetName val="Aca__Off_-_I7"/>
      <sheetName val="PROJECT_TRACKING7"/>
      <sheetName val="Break_Down__5"/>
      <sheetName val="Aca__Off_-_I5"/>
      <sheetName val="PROJECT_TRACKING5"/>
      <sheetName val="Break_Down__1"/>
      <sheetName val="Aca__Off_-_I1"/>
      <sheetName val="PROJECT_TRACKING1"/>
      <sheetName val="Break_Down__"/>
      <sheetName val="Aca__Off_-_I"/>
      <sheetName val="PROJECT_TRACKING"/>
      <sheetName val="Break_Down__2"/>
      <sheetName val="Aca__Off_-_I2"/>
      <sheetName val="PROJECT_TRACKING2"/>
      <sheetName val="Break_Down__3"/>
      <sheetName val="Aca__Off_-_I3"/>
      <sheetName val="PROJECT_TRACKING3"/>
      <sheetName val="Break_Down__4"/>
      <sheetName val="Aca__Off_-_I4"/>
      <sheetName val="PROJECT_TRACKING4"/>
      <sheetName val="Break_Down__6"/>
      <sheetName val="Aca__Off_-_I6"/>
      <sheetName val="PROJECT_TRACKING6"/>
      <sheetName val="Break_Down__8"/>
      <sheetName val="Aca__Off_-_I8"/>
      <sheetName val="PROJECT_TRACKING8"/>
      <sheetName val="OPD"/>
      <sheetName val="Waiting"/>
      <sheetName val="IPD"/>
      <sheetName val="OR"/>
      <sheetName val="Emergency"/>
      <sheetName val="Diagnostic"/>
      <sheetName val="Administration"/>
      <sheetName val="Staff"/>
      <sheetName val="Service quarter"/>
      <sheetName val="Generator"/>
      <sheetName val="Transformer"/>
      <sheetName val="Kitchen"/>
      <sheetName val="Store"/>
      <sheetName val="Morgue"/>
      <sheetName val="Guard house"/>
      <sheetName val="Dry latrine"/>
      <sheetName val="Civil"/>
      <sheetName val="site san"/>
      <sheetName val="electrical site work"/>
      <sheetName val="Variation work"/>
      <sheetName val="OPD take off"/>
      <sheetName val="Waiting Takeoff"/>
      <sheetName val="IPD Takeoff"/>
      <sheetName val="OR takeoff"/>
      <sheetName val="Income Stmnt"/>
      <sheetName val="Labor Budget"/>
      <sheetName val="08 Ar &amp; St"/>
      <sheetName val="08 Summary"/>
      <sheetName val="08 A-2 200kp Resi Sup St."/>
      <sheetName val="Summary"/>
      <sheetName val="Dining Room "/>
      <sheetName val="Week 4"/>
      <sheetName val="Cash flow schedule Phase 1&amp;2"/>
      <sheetName val="page -1 project information"/>
      <sheetName val="summary of activitie old"/>
      <sheetName val="dia.8mm"/>
      <sheetName val="page - 12 MWF oct. qty"/>
      <sheetName val="coded &amp; priced (4)"/>
      <sheetName val="dia.14mm"/>
      <sheetName val="CR-1 Roof Water Pro."/>
      <sheetName val="Task_Table1"/>
      <sheetName val="dia 16mm"/>
      <sheetName val="dia.10mm"/>
      <sheetName val="dia.12mm"/>
      <sheetName val="dia 20mm"/>
      <sheetName val="dia 24mm"/>
      <sheetName val="BOQ block 3"/>
      <sheetName val="FEB"/>
      <sheetName val="Lab. BOQ."/>
      <sheetName val="05 Ar &amp; St"/>
      <sheetName val="A-2 blcok work Res."/>
      <sheetName val="Sheet1"/>
      <sheetName val="05 RB A-2 200kp Res. Sub St."/>
      <sheetName val="05 A-2 300kp Sup St."/>
      <sheetName val="MEWD "/>
      <sheetName val="SUB BOQ"/>
      <sheetName val="Sum"/>
      <sheetName val="Mob.II"/>
      <sheetName val="Camp"/>
      <sheetName val="Ls Item"/>
      <sheetName val="Ar &amp; St"/>
      <sheetName val="Sub Structure BC = 200"/>
      <sheetName val="Service_quarter"/>
      <sheetName val="Guard_house"/>
      <sheetName val="Dry_latrine"/>
      <sheetName val="site_san"/>
      <sheetName val="electrical_site_work"/>
      <sheetName val="Variation_work"/>
      <sheetName val="OPD_take_off"/>
      <sheetName val="Waiting_Takeoff"/>
      <sheetName val="IPD_Takeoff"/>
      <sheetName val="OR_takeoff"/>
      <sheetName val="Income_Stmnt"/>
      <sheetName val="Bills of Quantities"/>
      <sheetName val="05 A-2 300kp Res. Sup St."/>
      <sheetName val="#REF"/>
      <sheetName val="PROJECT_TRACKING9"/>
      <sheetName val="Break_Down__9"/>
      <sheetName val="Aca__Off_-_I9"/>
      <sheetName val="08_Ar_&amp;_St"/>
      <sheetName val="08_Summary"/>
      <sheetName val="08_A-2_200kp_Resi_Sup_St_"/>
      <sheetName val="Dining_Room_"/>
      <sheetName val="Labor_Budget"/>
      <sheetName val="Mob_II"/>
      <sheetName val="Ls_Item"/>
      <sheetName val="Service_quarter1"/>
      <sheetName val="Guard_house1"/>
      <sheetName val="Dry_latrine1"/>
      <sheetName val="site_san1"/>
      <sheetName val="electrical_site_work1"/>
      <sheetName val="Variation_work1"/>
      <sheetName val="OPD_take_off1"/>
      <sheetName val="Waiting_Takeoff1"/>
      <sheetName val="IPD_Takeoff1"/>
      <sheetName val="OR_takeoff1"/>
      <sheetName val="Income_Stmnt1"/>
      <sheetName val="PROJECT_TRACKING10"/>
      <sheetName val="Break_Down__10"/>
      <sheetName val="Aca__Off_-_I10"/>
      <sheetName val="08_Ar_&amp;_St1"/>
      <sheetName val="08_Summary1"/>
      <sheetName val="08_A-2_200kp_Resi_Sup_St_1"/>
      <sheetName val="Dining_Room_1"/>
      <sheetName val="Labor_Budget1"/>
      <sheetName val="Mob_II1"/>
      <sheetName val="Ls_Item1"/>
      <sheetName val=" L -1  sub R-bar "/>
      <sheetName val="L-1 200kpa Res.Sub"/>
      <sheetName val="Exc."/>
      <sheetName val="품의"/>
      <sheetName val="대비"/>
      <sheetName val="Cash_flow_schedule_Phase_1&amp;2"/>
      <sheetName val="perforated sheet cost -Customs"/>
      <sheetName val="Cash_flow_schedule_Phase_1&amp;21"/>
      <sheetName val="장비"/>
      <sheetName val="노무"/>
      <sheetName val="자재"/>
      <sheetName val="산근1"/>
      <sheetName val="지계"/>
      <sheetName val=" analysis"/>
      <sheetName val="Service_quarter2"/>
      <sheetName val="Guard_house2"/>
      <sheetName val="Dry_latrine2"/>
      <sheetName val="site_san2"/>
      <sheetName val="electrical_site_work2"/>
      <sheetName val="Variation_work2"/>
      <sheetName val="OPD_take_off2"/>
      <sheetName val="Waiting_Takeoff2"/>
      <sheetName val="IPD_Takeoff2"/>
      <sheetName val="OR_takeoff2"/>
      <sheetName val="Income_Stmnt2"/>
      <sheetName val="PROJECT_TRACKING11"/>
      <sheetName val="Break_Down__11"/>
      <sheetName val="Aca__Off_-_I11"/>
      <sheetName val="08_Ar_&amp;_St2"/>
      <sheetName val="08_Summary2"/>
      <sheetName val="08_A-2_200kp_Resi_Sup_St_2"/>
      <sheetName val="Dining_Room_2"/>
      <sheetName val="Labor_Budget2"/>
      <sheetName val="Mob_II2"/>
      <sheetName val="Ls_Item2"/>
      <sheetName val="05 RB A-2 300kp Shop Sub St."/>
      <sheetName val="ST con. Sup. M.B."/>
      <sheetName val="SUP bar"/>
      <sheetName val=" L -1  sub R-bar for 200Kpa "/>
      <sheetName val=" Ar &amp; St"/>
      <sheetName val="PA(B-4)F"/>
      <sheetName val="PA(B-5)F"/>
      <sheetName val="PA(B-4)L"/>
      <sheetName val="Sub Structure BC = 300"/>
      <sheetName val="Roofing"/>
      <sheetName val="E-1 300kp Res. Sup St."/>
      <sheetName val="E-1 Block Work Residence"/>
      <sheetName val="Cash_flow_schedule_Phase_1&amp;22"/>
      <sheetName val="Week_42"/>
      <sheetName val="Week_4"/>
      <sheetName val="Week_41"/>
      <sheetName val="OPD takh_x0000_t_x0000_t"/>
      <sheetName val="05 A-2 300kp Shop Sup St."/>
      <sheetName val="OPD takh"/>
      <sheetName val="BOQ_block_3"/>
      <sheetName val="MEWD_"/>
      <sheetName val="SUB_BOQ"/>
      <sheetName val="05_Ar_&amp;_St"/>
      <sheetName val="A-2_blcok_work_Res_"/>
      <sheetName val="05_RB_A-2_200kp_Res__Sub_St_"/>
      <sheetName val="05_A-2_300kp_Sup_St_"/>
      <sheetName val="BOQ_block_31"/>
      <sheetName val="MEWD_1"/>
      <sheetName val="SUB_BOQ1"/>
      <sheetName val="05_Ar_&amp;_St1"/>
      <sheetName val="A-2_blcok_work_Res_1"/>
      <sheetName val="05_RB_A-2_200kp_Res__Sub_St_1"/>
      <sheetName val="05_A-2_300kp_Sup_St_1"/>
      <sheetName val="BOQ_block_32"/>
      <sheetName val="MEWD_2"/>
      <sheetName val="SUB_BOQ2"/>
      <sheetName val="05_Ar_&amp;_St2"/>
      <sheetName val="A-2_blcok_work_Res_2"/>
      <sheetName val="05_RB_A-2_200kp_Res__Sub_St_2"/>
      <sheetName val="05_A-2_300kp_Sup_St_2"/>
      <sheetName val="Service_quarter3"/>
      <sheetName val="Guard_house3"/>
      <sheetName val="Dry_latrine3"/>
      <sheetName val="site_san3"/>
      <sheetName val="electrical_site_work3"/>
      <sheetName val="Variation_work3"/>
      <sheetName val="OPD_take_off3"/>
      <sheetName val="Waiting_Takeoff3"/>
      <sheetName val="IPD_Takeoff3"/>
      <sheetName val="OR_takeoff3"/>
      <sheetName val="Labor_Budget3"/>
      <sheetName val="Break_Down__12"/>
      <sheetName val="Aca__Off_-_I12"/>
      <sheetName val="PROJECT_TRACKING12"/>
      <sheetName val="Income_Stmnt3"/>
      <sheetName val="Dining_Room_3"/>
      <sheetName val="08_Ar_&amp;_St3"/>
      <sheetName val="08_Summary3"/>
      <sheetName val="08_A-2_200kp_Resi_Sup_St_3"/>
      <sheetName val="Cash_flow_schedule_Phase_1&amp;23"/>
      <sheetName val="BOQ_block_33"/>
      <sheetName val="MEWD_3"/>
      <sheetName val="SUB_BOQ3"/>
      <sheetName val="Week_43"/>
      <sheetName val="05_Ar_&amp;_St3"/>
      <sheetName val="A-2_blcok_work_Res_3"/>
      <sheetName val="05_RB_A-2_200kp_Res__Sub_St_3"/>
      <sheetName val="05_A-2_300kp_Sup_St_3"/>
      <sheetName val="Lab__BOQ_"/>
      <sheetName val="Summary-2"/>
      <sheetName val="Final Direct Cost"/>
      <sheetName val="Summary Chash Flow"/>
      <sheetName val="Grand Summary"/>
      <sheetName val="BLOCK308"/>
      <sheetName val="RB E-1 300kp Res. Super St."/>
      <sheetName val="Title List"/>
      <sheetName val="Info"/>
      <sheetName val="PROJECT_TRACKING13"/>
      <sheetName val="Service_quarter4"/>
      <sheetName val="Guard_house4"/>
      <sheetName val="Dry_latrine4"/>
      <sheetName val="site_san4"/>
      <sheetName val="electrical_site_work4"/>
      <sheetName val="Variation_work4"/>
      <sheetName val="OPD_take_off4"/>
      <sheetName val="Waiting_Takeoff4"/>
      <sheetName val="IPD_Takeoff4"/>
      <sheetName val="OR_takeoff4"/>
      <sheetName val="Break_Down__13"/>
      <sheetName val="Aca__Off_-_I13"/>
      <sheetName val="Labor_Budget4"/>
      <sheetName val="Income_Stmnt4"/>
      <sheetName val="08_Ar_&amp;_St4"/>
      <sheetName val="08_Summary4"/>
      <sheetName val="08_A-2_200kp_Resi_Sup_St_4"/>
      <sheetName val="Dining_Room_4"/>
      <sheetName val="Cash_flow_schedule_Phase_1&amp;24"/>
      <sheetName val="BOQ_block_34"/>
      <sheetName val="_L_-1__sub_R-bar_"/>
      <sheetName val="L-1_200kpa_Res_Sub"/>
      <sheetName val="Exc_"/>
      <sheetName val="MEWD_4"/>
      <sheetName val="SUB_BOQ4"/>
      <sheetName val="Week_44"/>
      <sheetName val="05_Ar_&amp;_St4"/>
      <sheetName val="A-2_blcok_work_Res_4"/>
      <sheetName val="05_RB_A-2_200kp_Res__Sub_St_4"/>
      <sheetName val="05_A-2_300kp_Sup_St_4"/>
      <sheetName val="dia_8mm"/>
      <sheetName val="page_-_12_MWF_oct__qty"/>
      <sheetName val="coded_&amp;_priced_(4)"/>
      <sheetName val="dia_14mm"/>
      <sheetName val="CR-1_Roof_Water_Pro_"/>
      <sheetName val="dia_16mm"/>
      <sheetName val="dia_10mm"/>
      <sheetName val="dia_12mm"/>
      <sheetName val="dia_20mm"/>
      <sheetName val="dia_24mm"/>
      <sheetName val="page_-1_project_information"/>
      <sheetName val="summary_of_activitie_old"/>
      <sheetName val="Ar_&amp;_St"/>
      <sheetName val="Sub_Structure_BC_=_200"/>
      <sheetName val="PROJECT_TRACKING14"/>
      <sheetName val="Service_quarter5"/>
      <sheetName val="Guard_house5"/>
      <sheetName val="Dry_latrine5"/>
      <sheetName val="site_san5"/>
      <sheetName val="electrical_site_work5"/>
      <sheetName val="Variation_work5"/>
      <sheetName val="OPD_take_off5"/>
      <sheetName val="Waiting_Takeoff5"/>
      <sheetName val="IPD_Takeoff5"/>
      <sheetName val="OR_takeoff5"/>
      <sheetName val="Break_Down__14"/>
      <sheetName val="Aca__Off_-_I14"/>
      <sheetName val="Labor_Budget5"/>
      <sheetName val="Income_Stmnt5"/>
      <sheetName val="08_Ar_&amp;_St5"/>
      <sheetName val="08_Summary5"/>
      <sheetName val="08_A-2_200kp_Resi_Sup_St_5"/>
      <sheetName val="Dining_Room_5"/>
      <sheetName val="Cash_flow_schedule_Phase_1&amp;25"/>
      <sheetName val="BOQ_block_35"/>
      <sheetName val="_L_-1__sub_R-bar_1"/>
      <sheetName val="L-1_200kpa_Res_Sub1"/>
      <sheetName val="Exc_1"/>
      <sheetName val="MEWD_5"/>
      <sheetName val="SUB_BOQ5"/>
      <sheetName val="Week_45"/>
      <sheetName val="05_Ar_&amp;_St5"/>
      <sheetName val="A-2_blcok_work_Res_5"/>
      <sheetName val="05_RB_A-2_200kp_Res__Sub_St_5"/>
      <sheetName val="05_A-2_300kp_Sup_St_5"/>
      <sheetName val="Lab__BOQ_1"/>
      <sheetName val="dia_8mm1"/>
      <sheetName val="page_-_12_MWF_oct__qty1"/>
      <sheetName val="coded_&amp;_priced_(4)1"/>
      <sheetName val="dia_14mm1"/>
      <sheetName val="CR-1_Roof_Water_Pro_1"/>
      <sheetName val="dia_16mm1"/>
      <sheetName val="dia_10mm1"/>
      <sheetName val="dia_12mm1"/>
      <sheetName val="dia_20mm1"/>
      <sheetName val="dia_24mm1"/>
      <sheetName val="page_-1_project_information1"/>
      <sheetName val="summary_of_activitie_old1"/>
      <sheetName val="Ar_&amp;_St1"/>
      <sheetName val="Sub_Structure_BC_=_2001"/>
      <sheetName val="C. Material "/>
      <sheetName val="E. Equipments"/>
      <sheetName val="D. Labor "/>
      <sheetName val="PRECAST lightconc-II"/>
      <sheetName val="FEd BOQ"/>
      <sheetName val="Resource sheet"/>
      <sheetName val="cost breakdown"/>
      <sheetName val="Grand Summary page (2)"/>
      <sheetName val="Grand Summary page"/>
      <sheetName val="Dorm"/>
      <sheetName val="G+4"/>
      <sheetName val="Admins."/>
      <sheetName val="Generator house"/>
      <sheetName val="fence"/>
      <sheetName val=" Kitchen"/>
      <sheetName val="Recreation center"/>
      <sheetName val="Maint of exist wk"/>
      <sheetName val=" Dry Latrine"/>
      <sheetName val="Wash basin"/>
      <sheetName val="Distributin Board Houses"/>
      <sheetName val="Site Works "/>
      <sheetName val="Sheet3"/>
      <sheetName val="Raw Data"/>
      <sheetName val="OPD takh_x005f_x0000_t_x005f_x0000_t"/>
      <sheetName val="Bills_of_Quantities1"/>
      <sheetName val="perforated_sheet_cost_-Customs1"/>
      <sheetName val="Bills_of_Quantities"/>
      <sheetName val="perforated_sheet_cost_-Customs"/>
      <sheetName val="Bills_of_Quantities3"/>
      <sheetName val="Mob_II4"/>
      <sheetName val="Ls_Item4"/>
      <sheetName val="Lab__BOQ_3"/>
      <sheetName val="dia_8mm3"/>
      <sheetName val="page_-_12_MWF_oct__qty3"/>
      <sheetName val="coded_&amp;_priced_(4)3"/>
      <sheetName val="dia_14mm3"/>
      <sheetName val="CR-1_Roof_Water_Pro_3"/>
      <sheetName val="dia_16mm3"/>
      <sheetName val="dia_10mm3"/>
      <sheetName val="dia_12mm3"/>
      <sheetName val="dia_20mm3"/>
      <sheetName val="dia_24mm3"/>
      <sheetName val="page_-1_project_information3"/>
      <sheetName val="summary_of_activitie_old3"/>
      <sheetName val="Ar_&amp;_St3"/>
      <sheetName val="Sub_Structure_BC_=_2003"/>
      <sheetName val="perforated_sheet_cost_-Customs3"/>
      <sheetName val="ST_con__Sup__M_B_1"/>
      <sheetName val="SUP_bar1"/>
      <sheetName val="_analysis1"/>
      <sheetName val="_L_-1__sub_R-bar_for_200Kpa_1"/>
      <sheetName val="_Ar_&amp;_St1"/>
      <sheetName val="Sub_Structure_BC_=_3001"/>
      <sheetName val="E-1_300kp_Res__Sup_St_1"/>
      <sheetName val="05_RB_A-2_300kp_Shop_Sub_St_1"/>
      <sheetName val="Grand_Summary1"/>
      <sheetName val="OPD_takhtt"/>
      <sheetName val="Bills_of_Quantities2"/>
      <sheetName val="Mob_II3"/>
      <sheetName val="Ls_Item3"/>
      <sheetName val="Lab__BOQ_2"/>
      <sheetName val="dia_8mm2"/>
      <sheetName val="page_-_12_MWF_oct__qty2"/>
      <sheetName val="coded_&amp;_priced_(4)2"/>
      <sheetName val="dia_14mm2"/>
      <sheetName val="CR-1_Roof_Water_Pro_2"/>
      <sheetName val="dia_16mm2"/>
      <sheetName val="dia_10mm2"/>
      <sheetName val="dia_12mm2"/>
      <sheetName val="dia_20mm2"/>
      <sheetName val="dia_24mm2"/>
      <sheetName val="page_-1_project_information2"/>
      <sheetName val="summary_of_activitie_old2"/>
      <sheetName val="Ar_&amp;_St2"/>
      <sheetName val="Sub_Structure_BC_=_2002"/>
      <sheetName val="perforated_sheet_cost_-Customs2"/>
      <sheetName val="ST_con__Sup__M_B_"/>
      <sheetName val="SUP_bar"/>
      <sheetName val="_analysis"/>
      <sheetName val="_L_-1__sub_R-bar_for_200Kpa_"/>
      <sheetName val="_Ar_&amp;_St"/>
      <sheetName val="Sub_Structure_BC_=_300"/>
      <sheetName val="E-1_300kp_Res__Sup_St_"/>
      <sheetName val="05_RB_A-2_300kp_Shop_Sub_St_"/>
      <sheetName val="Grand_Summary"/>
      <sheetName val="Bills_of_Quantities4"/>
      <sheetName val="Mob_II5"/>
      <sheetName val="Ls_Item5"/>
      <sheetName val="Lab__BOQ_4"/>
      <sheetName val="dia_8mm4"/>
      <sheetName val="page_-_12_MWF_oct__qty4"/>
      <sheetName val="coded_&amp;_priced_(4)4"/>
      <sheetName val="dia_14mm4"/>
      <sheetName val="CR-1_Roof_Water_Pro_4"/>
      <sheetName val="dia_16mm4"/>
      <sheetName val="dia_10mm4"/>
      <sheetName val="dia_12mm4"/>
      <sheetName val="dia_20mm4"/>
      <sheetName val="dia_24mm4"/>
      <sheetName val="page_-1_project_information4"/>
      <sheetName val="summary_of_activitie_old4"/>
      <sheetName val="Ar_&amp;_St4"/>
      <sheetName val="Sub_Structure_BC_=_2004"/>
      <sheetName val="perforated_sheet_cost_-Customs4"/>
      <sheetName val="ST_con__Sup__M_B_2"/>
      <sheetName val="SUP_bar2"/>
      <sheetName val="_L_-1__sub_R-bar_2"/>
      <sheetName val="L-1_200kpa_Res_Sub2"/>
      <sheetName val="Exc_2"/>
      <sheetName val="_analysis2"/>
      <sheetName val="_L_-1__sub_R-bar_for_200Kpa_2"/>
      <sheetName val="_Ar_&amp;_St2"/>
      <sheetName val="Sub_Structure_BC_=_3002"/>
      <sheetName val="E-1_300kp_Res__Sup_St_2"/>
      <sheetName val="05_RB_A-2_300kp_Shop_Sub_St_2"/>
      <sheetName val="Grand_Summary2"/>
      <sheetName val="PROJECT_TRACKING15"/>
      <sheetName val="Service_quarter6"/>
      <sheetName val="Guard_house6"/>
      <sheetName val="Dry_latrine6"/>
      <sheetName val="site_san6"/>
      <sheetName val="electrical_site_work6"/>
      <sheetName val="Variation_work6"/>
      <sheetName val="OPD_take_off6"/>
      <sheetName val="Waiting_Takeoff6"/>
      <sheetName val="IPD_Takeoff6"/>
      <sheetName val="OR_takeoff6"/>
      <sheetName val="Income_Stmnt6"/>
      <sheetName val="Dining_Room_6"/>
      <sheetName val="Break_Down__15"/>
      <sheetName val="Aca__Off_-_I15"/>
      <sheetName val="08_Ar_&amp;_St6"/>
      <sheetName val="08_Summary6"/>
      <sheetName val="08_A-2_200kp_Resi_Sup_St_6"/>
      <sheetName val="Labor_Budget6"/>
      <sheetName val="Cash_flow_schedule_Phase_1&amp;26"/>
      <sheetName val="Bills_of_Quantities5"/>
      <sheetName val="Week_46"/>
      <sheetName val="Mob_II6"/>
      <sheetName val="Ls_Item6"/>
      <sheetName val="Lab__BOQ_5"/>
      <sheetName val="dia_8mm5"/>
      <sheetName val="page_-_12_MWF_oct__qty5"/>
      <sheetName val="coded_&amp;_priced_(4)5"/>
      <sheetName val="dia_14mm5"/>
      <sheetName val="CR-1_Roof_Water_Pro_5"/>
      <sheetName val="dia_16mm5"/>
      <sheetName val="dia_10mm5"/>
      <sheetName val="dia_12mm5"/>
      <sheetName val="dia_20mm5"/>
      <sheetName val="dia_24mm5"/>
      <sheetName val="page_-1_project_information5"/>
      <sheetName val="summary_of_activitie_old5"/>
      <sheetName val="Ar_&amp;_St5"/>
      <sheetName val="Sub_Structure_BC_=_2005"/>
      <sheetName val="perforated_sheet_cost_-Customs5"/>
      <sheetName val="ST_con__Sup__M_B_3"/>
      <sheetName val="SUP_bar3"/>
      <sheetName val="_L_-1__sub_R-bar_3"/>
      <sheetName val="L-1_200kpa_Res_Sub3"/>
      <sheetName val="Exc_3"/>
      <sheetName val="_analysis3"/>
      <sheetName val="_L_-1__sub_R-bar_for_200Kpa_3"/>
      <sheetName val="_Ar_&amp;_St3"/>
      <sheetName val="Sub_Structure_BC_=_3003"/>
      <sheetName val="E-1_300kp_Res__Sup_St_3"/>
      <sheetName val="05_RB_A-2_300kp_Shop_Sub_St_3"/>
      <sheetName val="Grand_Summary3"/>
      <sheetName val="PROJECT_TRACKING16"/>
      <sheetName val="Service_quarter7"/>
      <sheetName val="Guard_house7"/>
      <sheetName val="Dry_latrine7"/>
      <sheetName val="site_san7"/>
      <sheetName val="electrical_site_work7"/>
      <sheetName val="Variation_work7"/>
      <sheetName val="OPD_take_off7"/>
      <sheetName val="Waiting_Takeoff7"/>
      <sheetName val="IPD_Takeoff7"/>
      <sheetName val="OR_takeoff7"/>
      <sheetName val="Income_Stmnt7"/>
      <sheetName val="Dining_Room_7"/>
      <sheetName val="Break_Down__16"/>
      <sheetName val="Aca__Off_-_I16"/>
      <sheetName val="08_Ar_&amp;_St7"/>
      <sheetName val="08_Summary7"/>
      <sheetName val="08_A-2_200kp_Resi_Sup_St_7"/>
      <sheetName val="Labor_Budget7"/>
      <sheetName val="Cash_flow_schedule_Phase_1&amp;27"/>
      <sheetName val="Bills_of_Quantities6"/>
      <sheetName val="Week_47"/>
      <sheetName val="MEWD_6"/>
      <sheetName val="SUB_BOQ6"/>
      <sheetName val="BOQ_block_36"/>
      <sheetName val="Mob_II7"/>
      <sheetName val="Ls_Item7"/>
      <sheetName val="Lab__BOQ_6"/>
      <sheetName val="05_Ar_&amp;_St6"/>
      <sheetName val="A-2_blcok_work_Res_6"/>
      <sheetName val="05_RB_A-2_200kp_Res__Sub_St_6"/>
      <sheetName val="05_A-2_300kp_Sup_St_6"/>
      <sheetName val="dia_8mm6"/>
      <sheetName val="page_-_12_MWF_oct__qty6"/>
      <sheetName val="coded_&amp;_priced_(4)6"/>
      <sheetName val="dia_14mm6"/>
      <sheetName val="CR-1_Roof_Water_Pro_6"/>
      <sheetName val="dia_16mm6"/>
      <sheetName val="dia_10mm6"/>
      <sheetName val="dia_12mm6"/>
      <sheetName val="dia_20mm6"/>
      <sheetName val="dia_24mm6"/>
      <sheetName val="page_-1_project_information6"/>
      <sheetName val="summary_of_activitie_old6"/>
      <sheetName val="Ar_&amp;_St6"/>
      <sheetName val="Sub_Structure_BC_=_2006"/>
      <sheetName val="perforated_sheet_cost_-Customs6"/>
      <sheetName val="ST_con__Sup__M_B_4"/>
      <sheetName val="SUP_bar4"/>
      <sheetName val="_L_-1__sub_R-bar_4"/>
      <sheetName val="L-1_200kpa_Res_Sub4"/>
      <sheetName val="Exc_4"/>
      <sheetName val="_analysis4"/>
      <sheetName val="_L_-1__sub_R-bar_for_200Kpa_4"/>
      <sheetName val="_Ar_&amp;_St4"/>
      <sheetName val="Sub_Structure_BC_=_3004"/>
      <sheetName val="E-1_300kp_Res__Sup_St_4"/>
      <sheetName val="05_RB_A-2_300kp_Shop_Sub_St_4"/>
      <sheetName val="Grand_Summary4"/>
      <sheetName val="PROJECT_TRACKING17"/>
      <sheetName val="Service_quarter8"/>
      <sheetName val="Guard_house8"/>
      <sheetName val="Dry_latrine8"/>
      <sheetName val="site_san8"/>
      <sheetName val="electrical_site_work8"/>
      <sheetName val="Variation_work8"/>
      <sheetName val="OPD_take_off8"/>
      <sheetName val="Waiting_Takeoff8"/>
      <sheetName val="IPD_Takeoff8"/>
      <sheetName val="OR_takeoff8"/>
      <sheetName val="Income_Stmnt8"/>
      <sheetName val="Dining_Room_8"/>
      <sheetName val="Break_Down__17"/>
      <sheetName val="Aca__Off_-_I17"/>
      <sheetName val="08_Ar_&amp;_St8"/>
      <sheetName val="08_Summary8"/>
      <sheetName val="08_A-2_200kp_Resi_Sup_St_8"/>
      <sheetName val="Labor_Budget8"/>
      <sheetName val="Cash_flow_schedule_Phase_1&amp;28"/>
      <sheetName val="Bills_of_Quantities7"/>
      <sheetName val="Week_48"/>
      <sheetName val="MEWD_7"/>
      <sheetName val="SUB_BOQ7"/>
      <sheetName val="BOQ_block_37"/>
      <sheetName val="Mob_II8"/>
      <sheetName val="Ls_Item8"/>
      <sheetName val="Lab__BOQ_7"/>
      <sheetName val="05_Ar_&amp;_St7"/>
      <sheetName val="A-2_blcok_work_Res_7"/>
      <sheetName val="05_RB_A-2_200kp_Res__Sub_St_7"/>
      <sheetName val="05_A-2_300kp_Sup_St_7"/>
      <sheetName val="dia_8mm7"/>
      <sheetName val="page_-_12_MWF_oct__qty7"/>
      <sheetName val="coded_&amp;_priced_(4)7"/>
      <sheetName val="dia_14mm7"/>
      <sheetName val="CR-1_Roof_Water_Pro_7"/>
      <sheetName val="dia_16mm7"/>
      <sheetName val="dia_10mm7"/>
      <sheetName val="dia_12mm7"/>
      <sheetName val="dia_20mm7"/>
      <sheetName val="dia_24mm7"/>
      <sheetName val="page_-1_project_information7"/>
      <sheetName val="summary_of_activitie_old7"/>
      <sheetName val="Ar_&amp;_St7"/>
      <sheetName val="Sub_Structure_BC_=_2007"/>
      <sheetName val="perforated_sheet_cost_-Customs7"/>
      <sheetName val="ST_con__Sup__M_B_5"/>
      <sheetName val="SUP_bar5"/>
      <sheetName val="_L_-1__sub_R-bar_5"/>
      <sheetName val="L-1_200kpa_Res_Sub5"/>
      <sheetName val="Exc_5"/>
      <sheetName val="_analysis5"/>
      <sheetName val="_L_-1__sub_R-bar_for_200Kpa_5"/>
      <sheetName val="_Ar_&amp;_St5"/>
      <sheetName val="Sub_Structure_BC_=_3005"/>
      <sheetName val="E-1_300kp_Res__Sup_St_5"/>
      <sheetName val="05_RB_A-2_300kp_Shop_Sub_St_5"/>
      <sheetName val="Grand_Summary5"/>
      <sheetName val="Certificate Pay 1"/>
      <sheetName val="Labor"/>
      <sheetName val="Material"/>
      <sheetName val="Super BOQ"/>
      <sheetName val="Supr Rebar"/>
      <sheetName val="E-1 200kp  Sup St."/>
      <sheetName val="RB E-1 200kp Res. Sub St."/>
      <sheetName val="E-1 200kp Res. Sub St."/>
      <sheetName val="간선계산"/>
      <sheetName val="ST"/>
      <sheetName val="Data"/>
      <sheetName val="Excav"/>
      <sheetName val="AR&amp;ST REV"/>
      <sheetName val="Mat.datal"/>
      <sheetName val="TOS NO-7 FACTORY"/>
      <sheetName val="TOS-NO-7 UG TANK"/>
      <sheetName val="05_A-2_300kp_Shop_Sup_St_"/>
      <sheetName val="Final_Direct_Cost"/>
      <sheetName val="EST PAYM"/>
      <sheetName val="DATA SHEET"/>
      <sheetName val="sheet18"/>
      <sheetName val="Sheet4"/>
      <sheetName val="management"/>
      <sheetName val="AUX DATA"/>
      <sheetName val="Bitumen &amp; Emulsions"/>
      <sheetName val="AUX DC SUMARY"/>
      <sheetName val="AUX RATES"/>
      <sheetName val="AUX HOURS"/>
      <sheetName val="General cost"/>
      <sheetName val="Lot-2A(Rev.Bill )"/>
      <sheetName val="Lot-2B(Rev. Bill)"/>
      <sheetName val="Lot-1(Rev. Bill )"/>
      <sheetName val="PA(B-2)L"/>
      <sheetName val="JUCK"/>
      <sheetName val="PHY&amp;FIN PROG."/>
      <sheetName val="DIR Man power Rep"/>
      <sheetName val="DIR MP DATA "/>
      <sheetName val="INDIR MP Rep"/>
      <sheetName val="sub cont. work"/>
      <sheetName val="RHS and Latice Pulin "/>
      <sheetName val="Plastering for Res."/>
      <sheetName val="05 Sub Structure BC = 300"/>
      <sheetName val="05 RB A-2 300kp Res. Sub St."/>
      <sheetName val="05 Summary"/>
      <sheetName val="Daily_feed"/>
      <sheetName val="Re Bar-Super str."/>
      <sheetName val="L-2 Rhs"/>
      <sheetName val="L-2 MEWD Standard"/>
      <sheetName val="L-2 Resi Sub Standard."/>
      <sheetName val="DAF-2"/>
      <sheetName val="자압"/>
      <sheetName val="Loading and analysis"/>
      <sheetName val="SUB ST"/>
      <sheetName val="Bill off sheet (12)"/>
      <sheetName val="300 AR-ST"/>
      <sheetName val="Break_Down__20"/>
      <sheetName val="Aca__Off_-_I20"/>
      <sheetName val="Service_quarter11"/>
      <sheetName val="Guard_house11"/>
      <sheetName val="Dry_latrine11"/>
      <sheetName val="site_san11"/>
      <sheetName val="electrical_site_work11"/>
      <sheetName val="Variation_work11"/>
      <sheetName val="OPD_take_off11"/>
      <sheetName val="Waiting_Takeoff11"/>
      <sheetName val="IPD_Takeoff11"/>
      <sheetName val="OR_takeoff11"/>
      <sheetName val="Income_Stmnt11"/>
      <sheetName val="PROJECT_TRACKING20"/>
      <sheetName val="Labor_Budget11"/>
      <sheetName val="08_Ar_&amp;_St11"/>
      <sheetName val="08_Summary11"/>
      <sheetName val="08_A-2_200kp_Resi_Sup_St_11"/>
      <sheetName val="Week_411"/>
      <sheetName val="Cash_flow_schedule_Phase_1&amp;211"/>
      <sheetName val="Dining_Room_11"/>
      <sheetName val="MEWD_10"/>
      <sheetName val="BOQ_block_310"/>
      <sheetName val="Lab__BOQ_10"/>
      <sheetName val="05_Ar_&amp;_St10"/>
      <sheetName val="A-2_blcok_work_Res_10"/>
      <sheetName val="05_RB_A-2_200kp_Res__Sub_St_10"/>
      <sheetName val="05_A-2_300kp_Sup_St_10"/>
      <sheetName val="_L_-1__sub_R-bar_8"/>
      <sheetName val="L-1_200kpa_Res_Sub8"/>
      <sheetName val="Exc_8"/>
      <sheetName val="05_RB_A-2_300kp_Shop_Sub_St_8"/>
      <sheetName val="SUB_BOQ10"/>
      <sheetName val="Mob_II11"/>
      <sheetName val="Ls_Item11"/>
      <sheetName val="_analysis8"/>
      <sheetName val="page_-1_project_information10"/>
      <sheetName val="summary_of_activitie_old10"/>
      <sheetName val="dia_8mm10"/>
      <sheetName val="page_-_12_MWF_oct__qty10"/>
      <sheetName val="coded_&amp;_priced_(4)10"/>
      <sheetName val="dia_14mm10"/>
      <sheetName val="CR-1_Roof_Water_Pro_10"/>
      <sheetName val="dia_16mm10"/>
      <sheetName val="dia_10mm10"/>
      <sheetName val="dia_12mm10"/>
      <sheetName val="dia_20mm10"/>
      <sheetName val="dia_24mm10"/>
      <sheetName val="Ar_&amp;_St10"/>
      <sheetName val="Sub_Structure_BC_=_20010"/>
      <sheetName val="_L_-1__sub_R-bar_for_200Kpa_8"/>
      <sheetName val="_Ar_&amp;_St8"/>
      <sheetName val="05_A-2_300kp_Shop_Sup_St_3"/>
      <sheetName val="perforated_sheet_cost_-Custom10"/>
      <sheetName val="Sub_Structure_BC_=_3008"/>
      <sheetName val="E-1_300kp_Res__Sup_St_8"/>
      <sheetName val="Final_Direct_Cost3"/>
      <sheetName val="Bills_of_Quantities10"/>
      <sheetName val="Grand_Summary8"/>
      <sheetName val="Summary_Chash_Flow2"/>
      <sheetName val="Title_List2"/>
      <sheetName val="ST_con__Sup__M_B_8"/>
      <sheetName val="SUP_bar8"/>
      <sheetName val="E-1_Block_Work_Residence2"/>
      <sheetName val="05_A-2_300kp_Res__Sup_St_2"/>
      <sheetName val="RB_E-1_300kp_Res__Super_St_2"/>
      <sheetName val="Certificate_Pay_12"/>
      <sheetName val="Super_BOQ2"/>
      <sheetName val="Supr_Rebar2"/>
      <sheetName val="OPD_takh2"/>
      <sheetName val="PRECAST_lightconc-II2"/>
      <sheetName val="Raw_Data2"/>
      <sheetName val="C__Material_2"/>
      <sheetName val="E__Equipments2"/>
      <sheetName val="D__Labor_2"/>
      <sheetName val="RB_E-1_200kp_Res__Sub_St_2"/>
      <sheetName val="E-1_200kp_Res__Sub_St_2"/>
      <sheetName val="E-1_200kp__Sup_St_2"/>
      <sheetName val="OPD_takh_x005f_x0000_t_x005f_x0000_t2"/>
      <sheetName val="Service_quarter9"/>
      <sheetName val="Guard_house9"/>
      <sheetName val="Dry_latrine9"/>
      <sheetName val="site_san9"/>
      <sheetName val="electrical_site_work9"/>
      <sheetName val="Variation_work9"/>
      <sheetName val="OPD_take_off9"/>
      <sheetName val="Waiting_Takeoff9"/>
      <sheetName val="IPD_Takeoff9"/>
      <sheetName val="OR_takeoff9"/>
      <sheetName val="PROJECT_TRACKING18"/>
      <sheetName val="Break_Down__18"/>
      <sheetName val="Aca__Off_-_I18"/>
      <sheetName val="Labor_Budget9"/>
      <sheetName val="Income_Stmnt9"/>
      <sheetName val="08_Ar_&amp;_St9"/>
      <sheetName val="08_Summary9"/>
      <sheetName val="08_A-2_200kp_Resi_Sup_St_9"/>
      <sheetName val="Dining_Room_9"/>
      <sheetName val="Cash_flow_schedule_Phase_1&amp;29"/>
      <sheetName val="05_Ar_&amp;_St8"/>
      <sheetName val="A-2_blcok_work_Res_8"/>
      <sheetName val="05_RB_A-2_200kp_Res__Sub_St_8"/>
      <sheetName val="05_A-2_300kp_Sup_St_8"/>
      <sheetName val="BOQ_block_38"/>
      <sheetName val="Week_49"/>
      <sheetName val="MEWD_8"/>
      <sheetName val="SUB_BOQ8"/>
      <sheetName val="Lab__BOQ_8"/>
      <sheetName val="Mob_II9"/>
      <sheetName val="Ls_Item9"/>
      <sheetName val="dia_8mm8"/>
      <sheetName val="page_-_12_MWF_oct__qty8"/>
      <sheetName val="coded_&amp;_priced_(4)8"/>
      <sheetName val="dia_14mm8"/>
      <sheetName val="CR-1_Roof_Water_Pro_8"/>
      <sheetName val="dia_16mm8"/>
      <sheetName val="dia_10mm8"/>
      <sheetName val="dia_12mm8"/>
      <sheetName val="dia_20mm8"/>
      <sheetName val="dia_24mm8"/>
      <sheetName val="page_-1_project_information8"/>
      <sheetName val="summary_of_activitie_old8"/>
      <sheetName val="Ar_&amp;_St8"/>
      <sheetName val="Sub_Structure_BC_=_2008"/>
      <sheetName val="_L_-1__sub_R-bar_for_200Kpa_6"/>
      <sheetName val="_Ar_&amp;_St6"/>
      <sheetName val="_analysis6"/>
      <sheetName val="_L_-1__sub_R-bar_6"/>
      <sheetName val="L-1_200kpa_Res_Sub6"/>
      <sheetName val="Exc_6"/>
      <sheetName val="05_RB_A-2_300kp_Shop_Sub_St_6"/>
      <sheetName val="Summary_Chash_Flow"/>
      <sheetName val="perforated_sheet_cost_-Customs8"/>
      <sheetName val="Sub_Structure_BC_=_3006"/>
      <sheetName val="E-1_300kp_Res__Sup_St_6"/>
      <sheetName val="Grand_Summary6"/>
      <sheetName val="Bills_of_Quantities8"/>
      <sheetName val="Final_Direct_Cost1"/>
      <sheetName val="05_A-2_300kp_Shop_Sup_St_1"/>
      <sheetName val="PRECAST_lightconc-II"/>
      <sheetName val="05_A-2_300kp_Res__Sup_St_"/>
      <sheetName val="ST_con__Sup__M_B_6"/>
      <sheetName val="SUP_bar6"/>
      <sheetName val="E-1_Block_Work_Residence"/>
      <sheetName val="RB_E-1_300kp_Res__Super_St_"/>
      <sheetName val="OPD_takh"/>
      <sheetName val="Certificate_Pay_1"/>
      <sheetName val="Title_List"/>
      <sheetName val="RB_E-1_200kp_Res__Sub_St_"/>
      <sheetName val="E-1_200kp_Res__Sub_St_"/>
      <sheetName val="E-1_200kp__Sup_St_"/>
      <sheetName val="Super_BOQ"/>
      <sheetName val="Supr_Rebar"/>
      <sheetName val="Raw_Data"/>
      <sheetName val="C__Material_"/>
      <sheetName val="E__Equipments"/>
      <sheetName val="D__Labor_"/>
      <sheetName val="OPD_takh_x005f_x0000_t_x005f_x0000_t"/>
      <sheetName val="Break_Down__19"/>
      <sheetName val="Aca__Off_-_I19"/>
      <sheetName val="Service_quarter10"/>
      <sheetName val="Guard_house10"/>
      <sheetName val="Dry_latrine10"/>
      <sheetName val="site_san10"/>
      <sheetName val="electrical_site_work10"/>
      <sheetName val="Variation_work10"/>
      <sheetName val="OPD_take_off10"/>
      <sheetName val="Waiting_Takeoff10"/>
      <sheetName val="IPD_Takeoff10"/>
      <sheetName val="OR_takeoff10"/>
      <sheetName val="Income_Stmnt10"/>
      <sheetName val="PROJECT_TRACKING19"/>
      <sheetName val="Labor_Budget10"/>
      <sheetName val="08_Ar_&amp;_St10"/>
      <sheetName val="08_Summary10"/>
      <sheetName val="08_A-2_200kp_Resi_Sup_St_10"/>
      <sheetName val="Week_410"/>
      <sheetName val="Cash_flow_schedule_Phase_1&amp;210"/>
      <sheetName val="Dining_Room_10"/>
      <sheetName val="MEWD_9"/>
      <sheetName val="BOQ_block_39"/>
      <sheetName val="Lab__BOQ_9"/>
      <sheetName val="05_Ar_&amp;_St9"/>
      <sheetName val="A-2_blcok_work_Res_9"/>
      <sheetName val="05_RB_A-2_200kp_Res__Sub_St_9"/>
      <sheetName val="05_A-2_300kp_Sup_St_9"/>
      <sheetName val="_L_-1__sub_R-bar_7"/>
      <sheetName val="L-1_200kpa_Res_Sub7"/>
      <sheetName val="Exc_7"/>
      <sheetName val="05_RB_A-2_300kp_Shop_Sub_St_7"/>
      <sheetName val="SUB_BOQ9"/>
      <sheetName val="Mob_II10"/>
      <sheetName val="Ls_Item10"/>
      <sheetName val="_analysis7"/>
      <sheetName val="page_-1_project_information9"/>
      <sheetName val="summary_of_activitie_old9"/>
      <sheetName val="dia_8mm9"/>
      <sheetName val="page_-_12_MWF_oct__qty9"/>
      <sheetName val="coded_&amp;_priced_(4)9"/>
      <sheetName val="dia_14mm9"/>
      <sheetName val="CR-1_Roof_Water_Pro_9"/>
      <sheetName val="dia_16mm9"/>
      <sheetName val="dia_10mm9"/>
      <sheetName val="dia_12mm9"/>
      <sheetName val="dia_20mm9"/>
      <sheetName val="dia_24mm9"/>
      <sheetName val="Ar_&amp;_St9"/>
      <sheetName val="Sub_Structure_BC_=_2009"/>
      <sheetName val="_L_-1__sub_R-bar_for_200Kpa_7"/>
      <sheetName val="_Ar_&amp;_St7"/>
      <sheetName val="05_A-2_300kp_Shop_Sup_St_2"/>
      <sheetName val="perforated_sheet_cost_-Customs9"/>
      <sheetName val="Sub_Structure_BC_=_3007"/>
      <sheetName val="E-1_300kp_Res__Sup_St_7"/>
      <sheetName val="Final_Direct_Cost2"/>
      <sheetName val="Bills_of_Quantities9"/>
      <sheetName val="Grand_Summary7"/>
      <sheetName val="Summary_Chash_Flow1"/>
      <sheetName val="Title_List1"/>
      <sheetName val="ST_con__Sup__M_B_7"/>
      <sheetName val="SUP_bar7"/>
      <sheetName val="E-1_Block_Work_Residence1"/>
      <sheetName val="05_A-2_300kp_Res__Sup_St_1"/>
      <sheetName val="RB_E-1_300kp_Res__Super_St_1"/>
      <sheetName val="Certificate_Pay_11"/>
      <sheetName val="Super_BOQ1"/>
      <sheetName val="Supr_Rebar1"/>
      <sheetName val="OPD_takh1"/>
      <sheetName val="PRECAST_lightconc-II1"/>
      <sheetName val="Raw_Data1"/>
      <sheetName val="C__Material_1"/>
      <sheetName val="E__Equipments1"/>
      <sheetName val="D__Labor_1"/>
      <sheetName val="RB_E-1_200kp_Res__Sub_St_1"/>
      <sheetName val="E-1_200kp_Res__Sub_St_1"/>
      <sheetName val="E-1_200kp__Sup_St_1"/>
      <sheetName val="OPD_takh_x005f_x0000_t_x005f_x0000_t1"/>
      <sheetName val="PROJECT_TRACKING21"/>
      <sheetName val="Break_Down__21"/>
      <sheetName val="Aca__Off_-_I21"/>
      <sheetName val="Service_quarter12"/>
      <sheetName val="Guard_house12"/>
      <sheetName val="Dry_latrine12"/>
      <sheetName val="site_san12"/>
      <sheetName val="electrical_site_work12"/>
      <sheetName val="Variation_work12"/>
      <sheetName val="OPD_take_off12"/>
      <sheetName val="Waiting_Takeoff12"/>
      <sheetName val="IPD_Takeoff12"/>
      <sheetName val="OR_takeoff12"/>
      <sheetName val="Labor_Budget12"/>
      <sheetName val="Income_Stmnt12"/>
      <sheetName val="08_Ar_&amp;_St12"/>
      <sheetName val="08_Summary12"/>
      <sheetName val="08_A-2_200kp_Resi_Sup_St_12"/>
      <sheetName val="Dining_Room_12"/>
      <sheetName val="05_Ar_&amp;_St11"/>
      <sheetName val="A-2_blcok_work_Res_11"/>
      <sheetName val="05_RB_A-2_200kp_Res__Sub_St_11"/>
      <sheetName val="05_A-2_300kp_Sup_St_11"/>
      <sheetName val="Cash_flow_schedule_Phase_1&amp;212"/>
      <sheetName val="Week_412"/>
      <sheetName val="BOQ_block_311"/>
      <sheetName val="Mob_II12"/>
      <sheetName val="Ls_Item12"/>
      <sheetName val="MEWD_11"/>
      <sheetName val="dia_8mm11"/>
      <sheetName val="page_-_12_MWF_oct__qty11"/>
      <sheetName val="coded_&amp;_priced_(4)11"/>
      <sheetName val="dia_14mm11"/>
      <sheetName val="CR-1_Roof_Water_Pro_11"/>
      <sheetName val="dia_16mm11"/>
      <sheetName val="dia_10mm11"/>
      <sheetName val="dia_12mm11"/>
      <sheetName val="dia_20mm11"/>
      <sheetName val="dia_24mm11"/>
      <sheetName val="page_-1_project_information11"/>
      <sheetName val="summary_of_activitie_old11"/>
      <sheetName val="Lab__BOQ_11"/>
      <sheetName val="SUB_BOQ11"/>
      <sheetName val="Ar_&amp;_St11"/>
      <sheetName val="Sub_Structure_BC_=_20011"/>
      <sheetName val="Bills_of_Quantities11"/>
      <sheetName val="perforated_sheet_cost_-Custom11"/>
      <sheetName val="_L_-1__sub_R-bar_9"/>
      <sheetName val="L-1_200kpa_Res_Sub9"/>
      <sheetName val="Exc_9"/>
      <sheetName val="_analysis9"/>
      <sheetName val="_L_-1__sub_R-bar_for_200Kpa_9"/>
      <sheetName val="_Ar_&amp;_St9"/>
      <sheetName val="Sub_Structure_BC_=_3009"/>
      <sheetName val="E-1_300kp_Res__Sup_St_9"/>
      <sheetName val="05_RB_A-2_300kp_Shop_Sub_St_9"/>
      <sheetName val="Grand_Summary9"/>
      <sheetName val="Summary_Chash_Flow3"/>
      <sheetName val="Final_Direct_Cost4"/>
      <sheetName val="Title_List3"/>
      <sheetName val="ST_con__Sup__M_B_9"/>
      <sheetName val="SUP_bar9"/>
      <sheetName val="05_A-2_300kp_Shop_Sup_St_4"/>
      <sheetName val="E-1_Block_Work_Residence3"/>
      <sheetName val="05_A-2_300kp_Res__Sup_St_3"/>
      <sheetName val="RB_E-1_300kp_Res__Super_St_3"/>
      <sheetName val="Certificate_Pay_13"/>
      <sheetName val="Super_BOQ3"/>
      <sheetName val="Supr_Rebar3"/>
      <sheetName val="OPD_takh3"/>
      <sheetName val="PRECAST_lightconc-II3"/>
      <sheetName val="Raw_Data3"/>
      <sheetName val="C__Material_3"/>
      <sheetName val="E__Equipments3"/>
      <sheetName val="D__Labor_3"/>
      <sheetName val="RB_E-1_200kp_Res__Sub_St_3"/>
      <sheetName val="E-1_200kp_Res__Sub_St_3"/>
      <sheetName val="E-1_200kp__Sup_St_3"/>
      <sheetName val="OPD_takh_x005f_x0000_t_x005f_x0000_t3"/>
    </sheetNames>
    <sheetDataSet>
      <sheetData sheetId="0">
        <row r="51">
          <cell r="G51">
            <v>11.8125</v>
          </cell>
        </row>
      </sheetData>
      <sheetData sheetId="1">
        <row r="51">
          <cell r="G51">
            <v>11.8125</v>
          </cell>
        </row>
      </sheetData>
      <sheetData sheetId="2">
        <row r="51">
          <cell r="G51">
            <v>11.8125</v>
          </cell>
        </row>
      </sheetData>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refreshError="1"/>
      <sheetData sheetId="152" refreshError="1"/>
      <sheetData sheetId="153" refreshError="1"/>
      <sheetData sheetId="154" refreshError="1"/>
      <sheetData sheetId="155" refreshError="1"/>
      <sheetData sheetId="156" refreshError="1"/>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sheetData sheetId="193"/>
      <sheetData sheetId="194" refreshError="1"/>
      <sheetData sheetId="195"/>
      <sheetData sheetId="196"/>
      <sheetData sheetId="197"/>
      <sheetData sheetId="198"/>
      <sheetData sheetId="199"/>
      <sheetData sheetId="200" refreshError="1"/>
      <sheetData sheetId="201" refreshError="1"/>
      <sheetData sheetId="202" refreshError="1"/>
      <sheetData sheetId="203"/>
      <sheetData sheetId="204" refreshError="1"/>
      <sheetData sheetId="205" refreshError="1"/>
      <sheetData sheetId="206" refreshError="1"/>
      <sheetData sheetId="207" refreshError="1"/>
      <sheetData sheetId="208"/>
      <sheetData sheetId="209" refreshError="1"/>
      <sheetData sheetId="210" refreshError="1"/>
      <sheetData sheetId="211" refreshError="1"/>
      <sheetData sheetId="212"/>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refreshError="1"/>
      <sheetData sheetId="628" refreshError="1"/>
      <sheetData sheetId="629"/>
      <sheetData sheetId="630"/>
      <sheetData sheetId="631"/>
      <sheetData sheetId="632"/>
      <sheetData sheetId="633"/>
      <sheetData sheetId="634"/>
      <sheetData sheetId="635"/>
      <sheetData sheetId="636"/>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sheetData sheetId="654"/>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r &amp; St"/>
      <sheetName val="Block Summary"/>
      <sheetName val="Summary"/>
      <sheetName val=" Sub Structure BC = 300"/>
      <sheetName val=" E2 Res (EXC&amp;MAS300kp)"/>
      <sheetName val="Excavation data "/>
      <sheetName val="masonary data"/>
      <sheetName val=" E2 Res TAKOFF(con sub300kp)"/>
      <sheetName val=" TAKE OFF(form sub 300kp)"/>
      <sheetName val="E2 Res TAKE OFF(ref sub 300 kp)"/>
      <sheetName val="take off con sup"/>
      <sheetName val="take off formwork sup"/>
      <sheetName val="R-bar sup"/>
      <sheetName val="Block Work Res."/>
      <sheetName val="Plate &amp; J-bolt"/>
    </sheetNames>
    <sheetDataSet>
      <sheetData sheetId="0" refreshError="1">
        <row r="7">
          <cell r="J7" t="str">
            <v>Todate Qty</v>
          </cell>
        </row>
        <row r="39">
          <cell r="M39">
            <v>437754.31000000006</v>
          </cell>
        </row>
        <row r="77">
          <cell r="M77">
            <v>2646</v>
          </cell>
        </row>
      </sheetData>
      <sheetData sheetId="1">
        <row r="14">
          <cell r="E14">
            <v>0</v>
          </cell>
        </row>
      </sheetData>
      <sheetData sheetId="2">
        <row r="14">
          <cell r="E14">
            <v>0</v>
          </cell>
        </row>
      </sheetData>
      <sheetData sheetId="3">
        <row r="7">
          <cell r="J7" t="str">
            <v>Todate Qty</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 BOQ"/>
      <sheetName val="Supr Rebar"/>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zoomScale="60" zoomScaleNormal="100" workbookViewId="0">
      <selection activeCell="O24" sqref="O24"/>
    </sheetView>
  </sheetViews>
  <sheetFormatPr defaultColWidth="0" defaultRowHeight="14.4"/>
  <cols>
    <col min="1" max="1" width="9.44140625" style="58" customWidth="1"/>
    <col min="2" max="9" width="9.44140625" style="51" customWidth="1"/>
    <col min="10" max="10" width="5" style="51" customWidth="1"/>
    <col min="11" max="254" width="9.109375" style="51" customWidth="1"/>
    <col min="255" max="256" width="0" style="51" hidden="1"/>
    <col min="257" max="257" width="34.109375" style="51" customWidth="1"/>
    <col min="258" max="258" width="28.6640625" style="51" customWidth="1"/>
    <col min="259" max="259" width="32.109375" style="51" customWidth="1"/>
    <col min="260" max="260" width="4" style="51" customWidth="1"/>
    <col min="261" max="262" width="17.44140625" style="51" bestFit="1" customWidth="1"/>
    <col min="263" max="263" width="19.109375" style="51" customWidth="1"/>
    <col min="264" max="510" width="9.109375" style="51" customWidth="1"/>
    <col min="511" max="512" width="0" style="51" hidden="1"/>
    <col min="513" max="513" width="34.109375" style="51" customWidth="1"/>
    <col min="514" max="514" width="28.6640625" style="51" customWidth="1"/>
    <col min="515" max="515" width="32.109375" style="51" customWidth="1"/>
    <col min="516" max="516" width="4" style="51" customWidth="1"/>
    <col min="517" max="518" width="17.44140625" style="51" bestFit="1" customWidth="1"/>
    <col min="519" max="519" width="19.109375" style="51" customWidth="1"/>
    <col min="520" max="766" width="9.109375" style="51" customWidth="1"/>
    <col min="767" max="768" width="0" style="51" hidden="1"/>
    <col min="769" max="769" width="34.109375" style="51" customWidth="1"/>
    <col min="770" max="770" width="28.6640625" style="51" customWidth="1"/>
    <col min="771" max="771" width="32.109375" style="51" customWidth="1"/>
    <col min="772" max="772" width="4" style="51" customWidth="1"/>
    <col min="773" max="774" width="17.44140625" style="51" bestFit="1" customWidth="1"/>
    <col min="775" max="775" width="19.109375" style="51" customWidth="1"/>
    <col min="776" max="1022" width="9.109375" style="51" customWidth="1"/>
    <col min="1023" max="1024" width="0" style="51" hidden="1"/>
    <col min="1025" max="1025" width="34.109375" style="51" customWidth="1"/>
    <col min="1026" max="1026" width="28.6640625" style="51" customWidth="1"/>
    <col min="1027" max="1027" width="32.109375" style="51" customWidth="1"/>
    <col min="1028" max="1028" width="4" style="51" customWidth="1"/>
    <col min="1029" max="1030" width="17.44140625" style="51" bestFit="1" customWidth="1"/>
    <col min="1031" max="1031" width="19.109375" style="51" customWidth="1"/>
    <col min="1032" max="1278" width="9.109375" style="51" customWidth="1"/>
    <col min="1279" max="1280" width="0" style="51" hidden="1"/>
    <col min="1281" max="1281" width="34.109375" style="51" customWidth="1"/>
    <col min="1282" max="1282" width="28.6640625" style="51" customWidth="1"/>
    <col min="1283" max="1283" width="32.109375" style="51" customWidth="1"/>
    <col min="1284" max="1284" width="4" style="51" customWidth="1"/>
    <col min="1285" max="1286" width="17.44140625" style="51" bestFit="1" customWidth="1"/>
    <col min="1287" max="1287" width="19.109375" style="51" customWidth="1"/>
    <col min="1288" max="1534" width="9.109375" style="51" customWidth="1"/>
    <col min="1535" max="1536" width="0" style="51" hidden="1"/>
    <col min="1537" max="1537" width="34.109375" style="51" customWidth="1"/>
    <col min="1538" max="1538" width="28.6640625" style="51" customWidth="1"/>
    <col min="1539" max="1539" width="32.109375" style="51" customWidth="1"/>
    <col min="1540" max="1540" width="4" style="51" customWidth="1"/>
    <col min="1541" max="1542" width="17.44140625" style="51" bestFit="1" customWidth="1"/>
    <col min="1543" max="1543" width="19.109375" style="51" customWidth="1"/>
    <col min="1544" max="1790" width="9.109375" style="51" customWidth="1"/>
    <col min="1791" max="1792" width="0" style="51" hidden="1"/>
    <col min="1793" max="1793" width="34.109375" style="51" customWidth="1"/>
    <col min="1794" max="1794" width="28.6640625" style="51" customWidth="1"/>
    <col min="1795" max="1795" width="32.109375" style="51" customWidth="1"/>
    <col min="1796" max="1796" width="4" style="51" customWidth="1"/>
    <col min="1797" max="1798" width="17.44140625" style="51" bestFit="1" customWidth="1"/>
    <col min="1799" max="1799" width="19.109375" style="51" customWidth="1"/>
    <col min="1800" max="2046" width="9.109375" style="51" customWidth="1"/>
    <col min="2047" max="2048" width="0" style="51" hidden="1"/>
    <col min="2049" max="2049" width="34.109375" style="51" customWidth="1"/>
    <col min="2050" max="2050" width="28.6640625" style="51" customWidth="1"/>
    <col min="2051" max="2051" width="32.109375" style="51" customWidth="1"/>
    <col min="2052" max="2052" width="4" style="51" customWidth="1"/>
    <col min="2053" max="2054" width="17.44140625" style="51" bestFit="1" customWidth="1"/>
    <col min="2055" max="2055" width="19.109375" style="51" customWidth="1"/>
    <col min="2056" max="2302" width="9.109375" style="51" customWidth="1"/>
    <col min="2303" max="2304" width="0" style="51" hidden="1"/>
    <col min="2305" max="2305" width="34.109375" style="51" customWidth="1"/>
    <col min="2306" max="2306" width="28.6640625" style="51" customWidth="1"/>
    <col min="2307" max="2307" width="32.109375" style="51" customWidth="1"/>
    <col min="2308" max="2308" width="4" style="51" customWidth="1"/>
    <col min="2309" max="2310" width="17.44140625" style="51" bestFit="1" customWidth="1"/>
    <col min="2311" max="2311" width="19.109375" style="51" customWidth="1"/>
    <col min="2312" max="2558" width="9.109375" style="51" customWidth="1"/>
    <col min="2559" max="2560" width="0" style="51" hidden="1"/>
    <col min="2561" max="2561" width="34.109375" style="51" customWidth="1"/>
    <col min="2562" max="2562" width="28.6640625" style="51" customWidth="1"/>
    <col min="2563" max="2563" width="32.109375" style="51" customWidth="1"/>
    <col min="2564" max="2564" width="4" style="51" customWidth="1"/>
    <col min="2565" max="2566" width="17.44140625" style="51" bestFit="1" customWidth="1"/>
    <col min="2567" max="2567" width="19.109375" style="51" customWidth="1"/>
    <col min="2568" max="2814" width="9.109375" style="51" customWidth="1"/>
    <col min="2815" max="2816" width="0" style="51" hidden="1"/>
    <col min="2817" max="2817" width="34.109375" style="51" customWidth="1"/>
    <col min="2818" max="2818" width="28.6640625" style="51" customWidth="1"/>
    <col min="2819" max="2819" width="32.109375" style="51" customWidth="1"/>
    <col min="2820" max="2820" width="4" style="51" customWidth="1"/>
    <col min="2821" max="2822" width="17.44140625" style="51" bestFit="1" customWidth="1"/>
    <col min="2823" max="2823" width="19.109375" style="51" customWidth="1"/>
    <col min="2824" max="3070" width="9.109375" style="51" customWidth="1"/>
    <col min="3071" max="3072" width="0" style="51" hidden="1"/>
    <col min="3073" max="3073" width="34.109375" style="51" customWidth="1"/>
    <col min="3074" max="3074" width="28.6640625" style="51" customWidth="1"/>
    <col min="3075" max="3075" width="32.109375" style="51" customWidth="1"/>
    <col min="3076" max="3076" width="4" style="51" customWidth="1"/>
    <col min="3077" max="3078" width="17.44140625" style="51" bestFit="1" customWidth="1"/>
    <col min="3079" max="3079" width="19.109375" style="51" customWidth="1"/>
    <col min="3080" max="3326" width="9.109375" style="51" customWidth="1"/>
    <col min="3327" max="3328" width="0" style="51" hidden="1"/>
    <col min="3329" max="3329" width="34.109375" style="51" customWidth="1"/>
    <col min="3330" max="3330" width="28.6640625" style="51" customWidth="1"/>
    <col min="3331" max="3331" width="32.109375" style="51" customWidth="1"/>
    <col min="3332" max="3332" width="4" style="51" customWidth="1"/>
    <col min="3333" max="3334" width="17.44140625" style="51" bestFit="1" customWidth="1"/>
    <col min="3335" max="3335" width="19.109375" style="51" customWidth="1"/>
    <col min="3336" max="3582" width="9.109375" style="51" customWidth="1"/>
    <col min="3583" max="3584" width="0" style="51" hidden="1"/>
    <col min="3585" max="3585" width="34.109375" style="51" customWidth="1"/>
    <col min="3586" max="3586" width="28.6640625" style="51" customWidth="1"/>
    <col min="3587" max="3587" width="32.109375" style="51" customWidth="1"/>
    <col min="3588" max="3588" width="4" style="51" customWidth="1"/>
    <col min="3589" max="3590" width="17.44140625" style="51" bestFit="1" customWidth="1"/>
    <col min="3591" max="3591" width="19.109375" style="51" customWidth="1"/>
    <col min="3592" max="3838" width="9.109375" style="51" customWidth="1"/>
    <col min="3839" max="3840" width="0" style="51" hidden="1"/>
    <col min="3841" max="3841" width="34.109375" style="51" customWidth="1"/>
    <col min="3842" max="3842" width="28.6640625" style="51" customWidth="1"/>
    <col min="3843" max="3843" width="32.109375" style="51" customWidth="1"/>
    <col min="3844" max="3844" width="4" style="51" customWidth="1"/>
    <col min="3845" max="3846" width="17.44140625" style="51" bestFit="1" customWidth="1"/>
    <col min="3847" max="3847" width="19.109375" style="51" customWidth="1"/>
    <col min="3848" max="4094" width="9.109375" style="51" customWidth="1"/>
    <col min="4095" max="4096" width="0" style="51" hidden="1"/>
    <col min="4097" max="4097" width="34.109375" style="51" customWidth="1"/>
    <col min="4098" max="4098" width="28.6640625" style="51" customWidth="1"/>
    <col min="4099" max="4099" width="32.109375" style="51" customWidth="1"/>
    <col min="4100" max="4100" width="4" style="51" customWidth="1"/>
    <col min="4101" max="4102" width="17.44140625" style="51" bestFit="1" customWidth="1"/>
    <col min="4103" max="4103" width="19.109375" style="51" customWidth="1"/>
    <col min="4104" max="4350" width="9.109375" style="51" customWidth="1"/>
    <col min="4351" max="4352" width="0" style="51" hidden="1"/>
    <col min="4353" max="4353" width="34.109375" style="51" customWidth="1"/>
    <col min="4354" max="4354" width="28.6640625" style="51" customWidth="1"/>
    <col min="4355" max="4355" width="32.109375" style="51" customWidth="1"/>
    <col min="4356" max="4356" width="4" style="51" customWidth="1"/>
    <col min="4357" max="4358" width="17.44140625" style="51" bestFit="1" customWidth="1"/>
    <col min="4359" max="4359" width="19.109375" style="51" customWidth="1"/>
    <col min="4360" max="4606" width="9.109375" style="51" customWidth="1"/>
    <col min="4607" max="4608" width="0" style="51" hidden="1"/>
    <col min="4609" max="4609" width="34.109375" style="51" customWidth="1"/>
    <col min="4610" max="4610" width="28.6640625" style="51" customWidth="1"/>
    <col min="4611" max="4611" width="32.109375" style="51" customWidth="1"/>
    <col min="4612" max="4612" width="4" style="51" customWidth="1"/>
    <col min="4613" max="4614" width="17.44140625" style="51" bestFit="1" customWidth="1"/>
    <col min="4615" max="4615" width="19.109375" style="51" customWidth="1"/>
    <col min="4616" max="4862" width="9.109375" style="51" customWidth="1"/>
    <col min="4863" max="4864" width="0" style="51" hidden="1"/>
    <col min="4865" max="4865" width="34.109375" style="51" customWidth="1"/>
    <col min="4866" max="4866" width="28.6640625" style="51" customWidth="1"/>
    <col min="4867" max="4867" width="32.109375" style="51" customWidth="1"/>
    <col min="4868" max="4868" width="4" style="51" customWidth="1"/>
    <col min="4869" max="4870" width="17.44140625" style="51" bestFit="1" customWidth="1"/>
    <col min="4871" max="4871" width="19.109375" style="51" customWidth="1"/>
    <col min="4872" max="5118" width="9.109375" style="51" customWidth="1"/>
    <col min="5119" max="5120" width="0" style="51" hidden="1"/>
    <col min="5121" max="5121" width="34.109375" style="51" customWidth="1"/>
    <col min="5122" max="5122" width="28.6640625" style="51" customWidth="1"/>
    <col min="5123" max="5123" width="32.109375" style="51" customWidth="1"/>
    <col min="5124" max="5124" width="4" style="51" customWidth="1"/>
    <col min="5125" max="5126" width="17.44140625" style="51" bestFit="1" customWidth="1"/>
    <col min="5127" max="5127" width="19.109375" style="51" customWidth="1"/>
    <col min="5128" max="5374" width="9.109375" style="51" customWidth="1"/>
    <col min="5375" max="5376" width="0" style="51" hidden="1"/>
    <col min="5377" max="5377" width="34.109375" style="51" customWidth="1"/>
    <col min="5378" max="5378" width="28.6640625" style="51" customWidth="1"/>
    <col min="5379" max="5379" width="32.109375" style="51" customWidth="1"/>
    <col min="5380" max="5380" width="4" style="51" customWidth="1"/>
    <col min="5381" max="5382" width="17.44140625" style="51" bestFit="1" customWidth="1"/>
    <col min="5383" max="5383" width="19.109375" style="51" customWidth="1"/>
    <col min="5384" max="5630" width="9.109375" style="51" customWidth="1"/>
    <col min="5631" max="5632" width="0" style="51" hidden="1"/>
    <col min="5633" max="5633" width="34.109375" style="51" customWidth="1"/>
    <col min="5634" max="5634" width="28.6640625" style="51" customWidth="1"/>
    <col min="5635" max="5635" width="32.109375" style="51" customWidth="1"/>
    <col min="5636" max="5636" width="4" style="51" customWidth="1"/>
    <col min="5637" max="5638" width="17.44140625" style="51" bestFit="1" customWidth="1"/>
    <col min="5639" max="5639" width="19.109375" style="51" customWidth="1"/>
    <col min="5640" max="5886" width="9.109375" style="51" customWidth="1"/>
    <col min="5887" max="5888" width="0" style="51" hidden="1"/>
    <col min="5889" max="5889" width="34.109375" style="51" customWidth="1"/>
    <col min="5890" max="5890" width="28.6640625" style="51" customWidth="1"/>
    <col min="5891" max="5891" width="32.109375" style="51" customWidth="1"/>
    <col min="5892" max="5892" width="4" style="51" customWidth="1"/>
    <col min="5893" max="5894" width="17.44140625" style="51" bestFit="1" customWidth="1"/>
    <col min="5895" max="5895" width="19.109375" style="51" customWidth="1"/>
    <col min="5896" max="6142" width="9.109375" style="51" customWidth="1"/>
    <col min="6143" max="6144" width="0" style="51" hidden="1"/>
    <col min="6145" max="6145" width="34.109375" style="51" customWidth="1"/>
    <col min="6146" max="6146" width="28.6640625" style="51" customWidth="1"/>
    <col min="6147" max="6147" width="32.109375" style="51" customWidth="1"/>
    <col min="6148" max="6148" width="4" style="51" customWidth="1"/>
    <col min="6149" max="6150" width="17.44140625" style="51" bestFit="1" customWidth="1"/>
    <col min="6151" max="6151" width="19.109375" style="51" customWidth="1"/>
    <col min="6152" max="6398" width="9.109375" style="51" customWidth="1"/>
    <col min="6399" max="6400" width="0" style="51" hidden="1"/>
    <col min="6401" max="6401" width="34.109375" style="51" customWidth="1"/>
    <col min="6402" max="6402" width="28.6640625" style="51" customWidth="1"/>
    <col min="6403" max="6403" width="32.109375" style="51" customWidth="1"/>
    <col min="6404" max="6404" width="4" style="51" customWidth="1"/>
    <col min="6405" max="6406" width="17.44140625" style="51" bestFit="1" customWidth="1"/>
    <col min="6407" max="6407" width="19.109375" style="51" customWidth="1"/>
    <col min="6408" max="6654" width="9.109375" style="51" customWidth="1"/>
    <col min="6655" max="6656" width="0" style="51" hidden="1"/>
    <col min="6657" max="6657" width="34.109375" style="51" customWidth="1"/>
    <col min="6658" max="6658" width="28.6640625" style="51" customWidth="1"/>
    <col min="6659" max="6659" width="32.109375" style="51" customWidth="1"/>
    <col min="6660" max="6660" width="4" style="51" customWidth="1"/>
    <col min="6661" max="6662" width="17.44140625" style="51" bestFit="1" customWidth="1"/>
    <col min="6663" max="6663" width="19.109375" style="51" customWidth="1"/>
    <col min="6664" max="6910" width="9.109375" style="51" customWidth="1"/>
    <col min="6911" max="6912" width="0" style="51" hidden="1"/>
    <col min="6913" max="6913" width="34.109375" style="51" customWidth="1"/>
    <col min="6914" max="6914" width="28.6640625" style="51" customWidth="1"/>
    <col min="6915" max="6915" width="32.109375" style="51" customWidth="1"/>
    <col min="6916" max="6916" width="4" style="51" customWidth="1"/>
    <col min="6917" max="6918" width="17.44140625" style="51" bestFit="1" customWidth="1"/>
    <col min="6919" max="6919" width="19.109375" style="51" customWidth="1"/>
    <col min="6920" max="7166" width="9.109375" style="51" customWidth="1"/>
    <col min="7167" max="7168" width="0" style="51" hidden="1"/>
    <col min="7169" max="7169" width="34.109375" style="51" customWidth="1"/>
    <col min="7170" max="7170" width="28.6640625" style="51" customWidth="1"/>
    <col min="7171" max="7171" width="32.109375" style="51" customWidth="1"/>
    <col min="7172" max="7172" width="4" style="51" customWidth="1"/>
    <col min="7173" max="7174" width="17.44140625" style="51" bestFit="1" customWidth="1"/>
    <col min="7175" max="7175" width="19.109375" style="51" customWidth="1"/>
    <col min="7176" max="7422" width="9.109375" style="51" customWidth="1"/>
    <col min="7423" max="7424" width="0" style="51" hidden="1"/>
    <col min="7425" max="7425" width="34.109375" style="51" customWidth="1"/>
    <col min="7426" max="7426" width="28.6640625" style="51" customWidth="1"/>
    <col min="7427" max="7427" width="32.109375" style="51" customWidth="1"/>
    <col min="7428" max="7428" width="4" style="51" customWidth="1"/>
    <col min="7429" max="7430" width="17.44140625" style="51" bestFit="1" customWidth="1"/>
    <col min="7431" max="7431" width="19.109375" style="51" customWidth="1"/>
    <col min="7432" max="7678" width="9.109375" style="51" customWidth="1"/>
    <col min="7679" max="7680" width="0" style="51" hidden="1"/>
    <col min="7681" max="7681" width="34.109375" style="51" customWidth="1"/>
    <col min="7682" max="7682" width="28.6640625" style="51" customWidth="1"/>
    <col min="7683" max="7683" width="32.109375" style="51" customWidth="1"/>
    <col min="7684" max="7684" width="4" style="51" customWidth="1"/>
    <col min="7685" max="7686" width="17.44140625" style="51" bestFit="1" customWidth="1"/>
    <col min="7687" max="7687" width="19.109375" style="51" customWidth="1"/>
    <col min="7688" max="7934" width="9.109375" style="51" customWidth="1"/>
    <col min="7935" max="7936" width="0" style="51" hidden="1"/>
    <col min="7937" max="7937" width="34.109375" style="51" customWidth="1"/>
    <col min="7938" max="7938" width="28.6640625" style="51" customWidth="1"/>
    <col min="7939" max="7939" width="32.109375" style="51" customWidth="1"/>
    <col min="7940" max="7940" width="4" style="51" customWidth="1"/>
    <col min="7941" max="7942" width="17.44140625" style="51" bestFit="1" customWidth="1"/>
    <col min="7943" max="7943" width="19.109375" style="51" customWidth="1"/>
    <col min="7944" max="8190" width="9.109375" style="51" customWidth="1"/>
    <col min="8191" max="8192" width="0" style="51" hidden="1"/>
    <col min="8193" max="8193" width="34.109375" style="51" customWidth="1"/>
    <col min="8194" max="8194" width="28.6640625" style="51" customWidth="1"/>
    <col min="8195" max="8195" width="32.109375" style="51" customWidth="1"/>
    <col min="8196" max="8196" width="4" style="51" customWidth="1"/>
    <col min="8197" max="8198" width="17.44140625" style="51" bestFit="1" customWidth="1"/>
    <col min="8199" max="8199" width="19.109375" style="51" customWidth="1"/>
    <col min="8200" max="8446" width="9.109375" style="51" customWidth="1"/>
    <col min="8447" max="8448" width="0" style="51" hidden="1"/>
    <col min="8449" max="8449" width="34.109375" style="51" customWidth="1"/>
    <col min="8450" max="8450" width="28.6640625" style="51" customWidth="1"/>
    <col min="8451" max="8451" width="32.109375" style="51" customWidth="1"/>
    <col min="8452" max="8452" width="4" style="51" customWidth="1"/>
    <col min="8453" max="8454" width="17.44140625" style="51" bestFit="1" customWidth="1"/>
    <col min="8455" max="8455" width="19.109375" style="51" customWidth="1"/>
    <col min="8456" max="8702" width="9.109375" style="51" customWidth="1"/>
    <col min="8703" max="8704" width="0" style="51" hidden="1"/>
    <col min="8705" max="8705" width="34.109375" style="51" customWidth="1"/>
    <col min="8706" max="8706" width="28.6640625" style="51" customWidth="1"/>
    <col min="8707" max="8707" width="32.109375" style="51" customWidth="1"/>
    <col min="8708" max="8708" width="4" style="51" customWidth="1"/>
    <col min="8709" max="8710" width="17.44140625" style="51" bestFit="1" customWidth="1"/>
    <col min="8711" max="8711" width="19.109375" style="51" customWidth="1"/>
    <col min="8712" max="8958" width="9.109375" style="51" customWidth="1"/>
    <col min="8959" max="8960" width="0" style="51" hidden="1"/>
    <col min="8961" max="8961" width="34.109375" style="51" customWidth="1"/>
    <col min="8962" max="8962" width="28.6640625" style="51" customWidth="1"/>
    <col min="8963" max="8963" width="32.109375" style="51" customWidth="1"/>
    <col min="8964" max="8964" width="4" style="51" customWidth="1"/>
    <col min="8965" max="8966" width="17.44140625" style="51" bestFit="1" customWidth="1"/>
    <col min="8967" max="8967" width="19.109375" style="51" customWidth="1"/>
    <col min="8968" max="9214" width="9.109375" style="51" customWidth="1"/>
    <col min="9215" max="9216" width="0" style="51" hidden="1"/>
    <col min="9217" max="9217" width="34.109375" style="51" customWidth="1"/>
    <col min="9218" max="9218" width="28.6640625" style="51" customWidth="1"/>
    <col min="9219" max="9219" width="32.109375" style="51" customWidth="1"/>
    <col min="9220" max="9220" width="4" style="51" customWidth="1"/>
    <col min="9221" max="9222" width="17.44140625" style="51" bestFit="1" customWidth="1"/>
    <col min="9223" max="9223" width="19.109375" style="51" customWidth="1"/>
    <col min="9224" max="9470" width="9.109375" style="51" customWidth="1"/>
    <col min="9471" max="9472" width="0" style="51" hidden="1"/>
    <col min="9473" max="9473" width="34.109375" style="51" customWidth="1"/>
    <col min="9474" max="9474" width="28.6640625" style="51" customWidth="1"/>
    <col min="9475" max="9475" width="32.109375" style="51" customWidth="1"/>
    <col min="9476" max="9476" width="4" style="51" customWidth="1"/>
    <col min="9477" max="9478" width="17.44140625" style="51" bestFit="1" customWidth="1"/>
    <col min="9479" max="9479" width="19.109375" style="51" customWidth="1"/>
    <col min="9480" max="9726" width="9.109375" style="51" customWidth="1"/>
    <col min="9727" max="9728" width="0" style="51" hidden="1"/>
    <col min="9729" max="9729" width="34.109375" style="51" customWidth="1"/>
    <col min="9730" max="9730" width="28.6640625" style="51" customWidth="1"/>
    <col min="9731" max="9731" width="32.109375" style="51" customWidth="1"/>
    <col min="9732" max="9732" width="4" style="51" customWidth="1"/>
    <col min="9733" max="9734" width="17.44140625" style="51" bestFit="1" customWidth="1"/>
    <col min="9735" max="9735" width="19.109375" style="51" customWidth="1"/>
    <col min="9736" max="9982" width="9.109375" style="51" customWidth="1"/>
    <col min="9983" max="9984" width="0" style="51" hidden="1"/>
    <col min="9985" max="9985" width="34.109375" style="51" customWidth="1"/>
    <col min="9986" max="9986" width="28.6640625" style="51" customWidth="1"/>
    <col min="9987" max="9987" width="32.109375" style="51" customWidth="1"/>
    <col min="9988" max="9988" width="4" style="51" customWidth="1"/>
    <col min="9989" max="9990" width="17.44140625" style="51" bestFit="1" customWidth="1"/>
    <col min="9991" max="9991" width="19.109375" style="51" customWidth="1"/>
    <col min="9992" max="10238" width="9.109375" style="51" customWidth="1"/>
    <col min="10239" max="10240" width="0" style="51" hidden="1"/>
    <col min="10241" max="10241" width="34.109375" style="51" customWidth="1"/>
    <col min="10242" max="10242" width="28.6640625" style="51" customWidth="1"/>
    <col min="10243" max="10243" width="32.109375" style="51" customWidth="1"/>
    <col min="10244" max="10244" width="4" style="51" customWidth="1"/>
    <col min="10245" max="10246" width="17.44140625" style="51" bestFit="1" customWidth="1"/>
    <col min="10247" max="10247" width="19.109375" style="51" customWidth="1"/>
    <col min="10248" max="10494" width="9.109375" style="51" customWidth="1"/>
    <col min="10495" max="10496" width="0" style="51" hidden="1"/>
    <col min="10497" max="10497" width="34.109375" style="51" customWidth="1"/>
    <col min="10498" max="10498" width="28.6640625" style="51" customWidth="1"/>
    <col min="10499" max="10499" width="32.109375" style="51" customWidth="1"/>
    <col min="10500" max="10500" width="4" style="51" customWidth="1"/>
    <col min="10501" max="10502" width="17.44140625" style="51" bestFit="1" customWidth="1"/>
    <col min="10503" max="10503" width="19.109375" style="51" customWidth="1"/>
    <col min="10504" max="10750" width="9.109375" style="51" customWidth="1"/>
    <col min="10751" max="10752" width="0" style="51" hidden="1"/>
    <col min="10753" max="10753" width="34.109375" style="51" customWidth="1"/>
    <col min="10754" max="10754" width="28.6640625" style="51" customWidth="1"/>
    <col min="10755" max="10755" width="32.109375" style="51" customWidth="1"/>
    <col min="10756" max="10756" width="4" style="51" customWidth="1"/>
    <col min="10757" max="10758" width="17.44140625" style="51" bestFit="1" customWidth="1"/>
    <col min="10759" max="10759" width="19.109375" style="51" customWidth="1"/>
    <col min="10760" max="11006" width="9.109375" style="51" customWidth="1"/>
    <col min="11007" max="11008" width="0" style="51" hidden="1"/>
    <col min="11009" max="11009" width="34.109375" style="51" customWidth="1"/>
    <col min="11010" max="11010" width="28.6640625" style="51" customWidth="1"/>
    <col min="11011" max="11011" width="32.109375" style="51" customWidth="1"/>
    <col min="11012" max="11012" width="4" style="51" customWidth="1"/>
    <col min="11013" max="11014" width="17.44140625" style="51" bestFit="1" customWidth="1"/>
    <col min="11015" max="11015" width="19.109375" style="51" customWidth="1"/>
    <col min="11016" max="11262" width="9.109375" style="51" customWidth="1"/>
    <col min="11263" max="11264" width="0" style="51" hidden="1"/>
    <col min="11265" max="11265" width="34.109375" style="51" customWidth="1"/>
    <col min="11266" max="11266" width="28.6640625" style="51" customWidth="1"/>
    <col min="11267" max="11267" width="32.109375" style="51" customWidth="1"/>
    <col min="11268" max="11268" width="4" style="51" customWidth="1"/>
    <col min="11269" max="11270" width="17.44140625" style="51" bestFit="1" customWidth="1"/>
    <col min="11271" max="11271" width="19.109375" style="51" customWidth="1"/>
    <col min="11272" max="11518" width="9.109375" style="51" customWidth="1"/>
    <col min="11519" max="11520" width="0" style="51" hidden="1"/>
    <col min="11521" max="11521" width="34.109375" style="51" customWidth="1"/>
    <col min="11522" max="11522" width="28.6640625" style="51" customWidth="1"/>
    <col min="11523" max="11523" width="32.109375" style="51" customWidth="1"/>
    <col min="11524" max="11524" width="4" style="51" customWidth="1"/>
    <col min="11525" max="11526" width="17.44140625" style="51" bestFit="1" customWidth="1"/>
    <col min="11527" max="11527" width="19.109375" style="51" customWidth="1"/>
    <col min="11528" max="11774" width="9.109375" style="51" customWidth="1"/>
    <col min="11775" max="11776" width="0" style="51" hidden="1"/>
    <col min="11777" max="11777" width="34.109375" style="51" customWidth="1"/>
    <col min="11778" max="11778" width="28.6640625" style="51" customWidth="1"/>
    <col min="11779" max="11779" width="32.109375" style="51" customWidth="1"/>
    <col min="11780" max="11780" width="4" style="51" customWidth="1"/>
    <col min="11781" max="11782" width="17.44140625" style="51" bestFit="1" customWidth="1"/>
    <col min="11783" max="11783" width="19.109375" style="51" customWidth="1"/>
    <col min="11784" max="12030" width="9.109375" style="51" customWidth="1"/>
    <col min="12031" max="12032" width="0" style="51" hidden="1"/>
    <col min="12033" max="12033" width="34.109375" style="51" customWidth="1"/>
    <col min="12034" max="12034" width="28.6640625" style="51" customWidth="1"/>
    <col min="12035" max="12035" width="32.109375" style="51" customWidth="1"/>
    <col min="12036" max="12036" width="4" style="51" customWidth="1"/>
    <col min="12037" max="12038" width="17.44140625" style="51" bestFit="1" customWidth="1"/>
    <col min="12039" max="12039" width="19.109375" style="51" customWidth="1"/>
    <col min="12040" max="12286" width="9.109375" style="51" customWidth="1"/>
    <col min="12287" max="12288" width="0" style="51" hidden="1"/>
    <col min="12289" max="12289" width="34.109375" style="51" customWidth="1"/>
    <col min="12290" max="12290" width="28.6640625" style="51" customWidth="1"/>
    <col min="12291" max="12291" width="32.109375" style="51" customWidth="1"/>
    <col min="12292" max="12292" width="4" style="51" customWidth="1"/>
    <col min="12293" max="12294" width="17.44140625" style="51" bestFit="1" customWidth="1"/>
    <col min="12295" max="12295" width="19.109375" style="51" customWidth="1"/>
    <col min="12296" max="12542" width="9.109375" style="51" customWidth="1"/>
    <col min="12543" max="12544" width="0" style="51" hidden="1"/>
    <col min="12545" max="12545" width="34.109375" style="51" customWidth="1"/>
    <col min="12546" max="12546" width="28.6640625" style="51" customWidth="1"/>
    <col min="12547" max="12547" width="32.109375" style="51" customWidth="1"/>
    <col min="12548" max="12548" width="4" style="51" customWidth="1"/>
    <col min="12549" max="12550" width="17.44140625" style="51" bestFit="1" customWidth="1"/>
    <col min="12551" max="12551" width="19.109375" style="51" customWidth="1"/>
    <col min="12552" max="12798" width="9.109375" style="51" customWidth="1"/>
    <col min="12799" max="12800" width="0" style="51" hidden="1"/>
    <col min="12801" max="12801" width="34.109375" style="51" customWidth="1"/>
    <col min="12802" max="12802" width="28.6640625" style="51" customWidth="1"/>
    <col min="12803" max="12803" width="32.109375" style="51" customWidth="1"/>
    <col min="12804" max="12804" width="4" style="51" customWidth="1"/>
    <col min="12805" max="12806" width="17.44140625" style="51" bestFit="1" customWidth="1"/>
    <col min="12807" max="12807" width="19.109375" style="51" customWidth="1"/>
    <col min="12808" max="13054" width="9.109375" style="51" customWidth="1"/>
    <col min="13055" max="13056" width="0" style="51" hidden="1"/>
    <col min="13057" max="13057" width="34.109375" style="51" customWidth="1"/>
    <col min="13058" max="13058" width="28.6640625" style="51" customWidth="1"/>
    <col min="13059" max="13059" width="32.109375" style="51" customWidth="1"/>
    <col min="13060" max="13060" width="4" style="51" customWidth="1"/>
    <col min="13061" max="13062" width="17.44140625" style="51" bestFit="1" customWidth="1"/>
    <col min="13063" max="13063" width="19.109375" style="51" customWidth="1"/>
    <col min="13064" max="13310" width="9.109375" style="51" customWidth="1"/>
    <col min="13311" max="13312" width="0" style="51" hidden="1"/>
    <col min="13313" max="13313" width="34.109375" style="51" customWidth="1"/>
    <col min="13314" max="13314" width="28.6640625" style="51" customWidth="1"/>
    <col min="13315" max="13315" width="32.109375" style="51" customWidth="1"/>
    <col min="13316" max="13316" width="4" style="51" customWidth="1"/>
    <col min="13317" max="13318" width="17.44140625" style="51" bestFit="1" customWidth="1"/>
    <col min="13319" max="13319" width="19.109375" style="51" customWidth="1"/>
    <col min="13320" max="13566" width="9.109375" style="51" customWidth="1"/>
    <col min="13567" max="13568" width="0" style="51" hidden="1"/>
    <col min="13569" max="13569" width="34.109375" style="51" customWidth="1"/>
    <col min="13570" max="13570" width="28.6640625" style="51" customWidth="1"/>
    <col min="13571" max="13571" width="32.109375" style="51" customWidth="1"/>
    <col min="13572" max="13572" width="4" style="51" customWidth="1"/>
    <col min="13573" max="13574" width="17.44140625" style="51" bestFit="1" customWidth="1"/>
    <col min="13575" max="13575" width="19.109375" style="51" customWidth="1"/>
    <col min="13576" max="13822" width="9.109375" style="51" customWidth="1"/>
    <col min="13823" max="13824" width="0" style="51" hidden="1"/>
    <col min="13825" max="13825" width="34.109375" style="51" customWidth="1"/>
    <col min="13826" max="13826" width="28.6640625" style="51" customWidth="1"/>
    <col min="13827" max="13827" width="32.109375" style="51" customWidth="1"/>
    <col min="13828" max="13828" width="4" style="51" customWidth="1"/>
    <col min="13829" max="13830" width="17.44140625" style="51" bestFit="1" customWidth="1"/>
    <col min="13831" max="13831" width="19.109375" style="51" customWidth="1"/>
    <col min="13832" max="14078" width="9.109375" style="51" customWidth="1"/>
    <col min="14079" max="14080" width="0" style="51" hidden="1"/>
    <col min="14081" max="14081" width="34.109375" style="51" customWidth="1"/>
    <col min="14082" max="14082" width="28.6640625" style="51" customWidth="1"/>
    <col min="14083" max="14083" width="32.109375" style="51" customWidth="1"/>
    <col min="14084" max="14084" width="4" style="51" customWidth="1"/>
    <col min="14085" max="14086" width="17.44140625" style="51" bestFit="1" customWidth="1"/>
    <col min="14087" max="14087" width="19.109375" style="51" customWidth="1"/>
    <col min="14088" max="14334" width="9.109375" style="51" customWidth="1"/>
    <col min="14335" max="14336" width="0" style="51" hidden="1"/>
    <col min="14337" max="14337" width="34.109375" style="51" customWidth="1"/>
    <col min="14338" max="14338" width="28.6640625" style="51" customWidth="1"/>
    <col min="14339" max="14339" width="32.109375" style="51" customWidth="1"/>
    <col min="14340" max="14340" width="4" style="51" customWidth="1"/>
    <col min="14341" max="14342" width="17.44140625" style="51" bestFit="1" customWidth="1"/>
    <col min="14343" max="14343" width="19.109375" style="51" customWidth="1"/>
    <col min="14344" max="14590" width="9.109375" style="51" customWidth="1"/>
    <col min="14591" max="14592" width="0" style="51" hidden="1"/>
    <col min="14593" max="14593" width="34.109375" style="51" customWidth="1"/>
    <col min="14594" max="14594" width="28.6640625" style="51" customWidth="1"/>
    <col min="14595" max="14595" width="32.109375" style="51" customWidth="1"/>
    <col min="14596" max="14596" width="4" style="51" customWidth="1"/>
    <col min="14597" max="14598" width="17.44140625" style="51" bestFit="1" customWidth="1"/>
    <col min="14599" max="14599" width="19.109375" style="51" customWidth="1"/>
    <col min="14600" max="14846" width="9.109375" style="51" customWidth="1"/>
    <col min="14847" max="14848" width="0" style="51" hidden="1"/>
    <col min="14849" max="14849" width="34.109375" style="51" customWidth="1"/>
    <col min="14850" max="14850" width="28.6640625" style="51" customWidth="1"/>
    <col min="14851" max="14851" width="32.109375" style="51" customWidth="1"/>
    <col min="14852" max="14852" width="4" style="51" customWidth="1"/>
    <col min="14853" max="14854" width="17.44140625" style="51" bestFit="1" customWidth="1"/>
    <col min="14855" max="14855" width="19.109375" style="51" customWidth="1"/>
    <col min="14856" max="15102" width="9.109375" style="51" customWidth="1"/>
    <col min="15103" max="15104" width="0" style="51" hidden="1"/>
    <col min="15105" max="15105" width="34.109375" style="51" customWidth="1"/>
    <col min="15106" max="15106" width="28.6640625" style="51" customWidth="1"/>
    <col min="15107" max="15107" width="32.109375" style="51" customWidth="1"/>
    <col min="15108" max="15108" width="4" style="51" customWidth="1"/>
    <col min="15109" max="15110" width="17.44140625" style="51" bestFit="1" customWidth="1"/>
    <col min="15111" max="15111" width="19.109375" style="51" customWidth="1"/>
    <col min="15112" max="15358" width="9.109375" style="51" customWidth="1"/>
    <col min="15359" max="15360" width="0" style="51" hidden="1"/>
    <col min="15361" max="15361" width="34.109375" style="51" customWidth="1"/>
    <col min="15362" max="15362" width="28.6640625" style="51" customWidth="1"/>
    <col min="15363" max="15363" width="32.109375" style="51" customWidth="1"/>
    <col min="15364" max="15364" width="4" style="51" customWidth="1"/>
    <col min="15365" max="15366" width="17.44140625" style="51" bestFit="1" customWidth="1"/>
    <col min="15367" max="15367" width="19.109375" style="51" customWidth="1"/>
    <col min="15368" max="15614" width="9.109375" style="51" customWidth="1"/>
    <col min="15615" max="15616" width="0" style="51" hidden="1"/>
    <col min="15617" max="15617" width="34.109375" style="51" customWidth="1"/>
    <col min="15618" max="15618" width="28.6640625" style="51" customWidth="1"/>
    <col min="15619" max="15619" width="32.109375" style="51" customWidth="1"/>
    <col min="15620" max="15620" width="4" style="51" customWidth="1"/>
    <col min="15621" max="15622" width="17.44140625" style="51" bestFit="1" customWidth="1"/>
    <col min="15623" max="15623" width="19.109375" style="51" customWidth="1"/>
    <col min="15624" max="15870" width="9.109375" style="51" customWidth="1"/>
    <col min="15871" max="15872" width="0" style="51" hidden="1"/>
    <col min="15873" max="15873" width="34.109375" style="51" customWidth="1"/>
    <col min="15874" max="15874" width="28.6640625" style="51" customWidth="1"/>
    <col min="15875" max="15875" width="32.109375" style="51" customWidth="1"/>
    <col min="15876" max="15876" width="4" style="51" customWidth="1"/>
    <col min="15877" max="15878" width="17.44140625" style="51" bestFit="1" customWidth="1"/>
    <col min="15879" max="15879" width="19.109375" style="51" customWidth="1"/>
    <col min="15880" max="16126" width="9.109375" style="51" customWidth="1"/>
    <col min="16127" max="16128" width="0" style="51" hidden="1"/>
    <col min="16129" max="16129" width="34.109375" style="51" customWidth="1"/>
    <col min="16130" max="16130" width="28.6640625" style="51" customWidth="1"/>
    <col min="16131" max="16131" width="32.109375" style="51" customWidth="1"/>
    <col min="16132" max="16132" width="4" style="51" customWidth="1"/>
    <col min="16133" max="16134" width="17.44140625" style="51" bestFit="1" customWidth="1"/>
    <col min="16135" max="16135" width="19.109375" style="51" customWidth="1"/>
    <col min="16136" max="16382" width="9.109375" style="51" customWidth="1"/>
    <col min="16383" max="16384" width="0" style="51" hidden="1"/>
  </cols>
  <sheetData>
    <row r="1" spans="1:10" s="31" customFormat="1" ht="16.2" thickTop="1">
      <c r="A1" s="161" t="s">
        <v>63</v>
      </c>
      <c r="B1" s="162"/>
      <c r="C1" s="162"/>
      <c r="D1" s="162"/>
      <c r="E1" s="162"/>
      <c r="F1" s="162"/>
      <c r="G1" s="162"/>
      <c r="H1" s="162"/>
      <c r="I1" s="162"/>
      <c r="J1" s="163"/>
    </row>
    <row r="2" spans="1:10" s="31" customFormat="1" ht="15.6">
      <c r="A2" s="164"/>
      <c r="B2" s="165"/>
      <c r="C2" s="165"/>
      <c r="D2" s="165"/>
      <c r="E2" s="165"/>
      <c r="F2" s="165"/>
      <c r="G2" s="165"/>
      <c r="H2" s="165"/>
      <c r="I2" s="165"/>
      <c r="J2" s="166"/>
    </row>
    <row r="3" spans="1:10" s="31" customFormat="1" ht="15.6">
      <c r="A3" s="164"/>
      <c r="B3" s="165"/>
      <c r="C3" s="165"/>
      <c r="D3" s="165"/>
      <c r="E3" s="165"/>
      <c r="F3" s="165"/>
      <c r="G3" s="165"/>
      <c r="H3" s="165"/>
      <c r="I3" s="165"/>
      <c r="J3" s="166"/>
    </row>
    <row r="4" spans="1:10" s="31" customFormat="1" ht="15.6">
      <c r="A4" s="164"/>
      <c r="B4" s="165"/>
      <c r="C4" s="165"/>
      <c r="D4" s="165"/>
      <c r="E4" s="165"/>
      <c r="F4" s="165"/>
      <c r="G4" s="165"/>
      <c r="H4" s="165"/>
      <c r="I4" s="165"/>
      <c r="J4" s="166"/>
    </row>
    <row r="5" spans="1:10" s="31" customFormat="1" ht="15.6">
      <c r="A5" s="164"/>
      <c r="B5" s="165"/>
      <c r="C5" s="165"/>
      <c r="D5" s="165"/>
      <c r="E5" s="165"/>
      <c r="F5" s="165"/>
      <c r="G5" s="165"/>
      <c r="H5" s="165"/>
      <c r="I5" s="165"/>
      <c r="J5" s="166"/>
    </row>
    <row r="6" spans="1:10" s="31" customFormat="1" ht="15.6">
      <c r="A6" s="32"/>
      <c r="B6" s="33"/>
      <c r="C6" s="33"/>
      <c r="D6" s="33"/>
      <c r="E6" s="33"/>
      <c r="F6" s="33"/>
      <c r="G6" s="33"/>
      <c r="H6" s="33"/>
      <c r="I6" s="33"/>
      <c r="J6" s="34"/>
    </row>
    <row r="7" spans="1:10" s="31" customFormat="1" ht="16.2" thickBot="1">
      <c r="A7" s="35"/>
      <c r="B7" s="36"/>
      <c r="C7" s="36"/>
      <c r="D7" s="36"/>
      <c r="E7" s="36"/>
      <c r="F7" s="36"/>
      <c r="G7" s="36"/>
      <c r="H7" s="36"/>
      <c r="I7" s="36"/>
      <c r="J7" s="37"/>
    </row>
    <row r="8" spans="1:10" s="31" customFormat="1" ht="16.2" thickTop="1">
      <c r="A8" s="38"/>
      <c r="B8" s="39"/>
      <c r="C8" s="39"/>
      <c r="D8" s="39"/>
      <c r="E8" s="39"/>
      <c r="F8" s="39"/>
      <c r="G8" s="39"/>
      <c r="H8" s="39"/>
      <c r="I8" s="39"/>
      <c r="J8" s="40"/>
    </row>
    <row r="9" spans="1:10" s="31" customFormat="1" ht="15.6">
      <c r="A9" s="167" t="s">
        <v>64</v>
      </c>
      <c r="B9" s="168"/>
      <c r="C9" s="168"/>
      <c r="D9" s="168"/>
      <c r="E9" s="168"/>
      <c r="F9" s="168"/>
      <c r="G9" s="168"/>
      <c r="H9" s="168"/>
      <c r="I9" s="168"/>
      <c r="J9" s="169"/>
    </row>
    <row r="10" spans="1:10" s="31" customFormat="1" ht="25.5" customHeight="1">
      <c r="A10" s="170" t="s">
        <v>121</v>
      </c>
      <c r="B10" s="171"/>
      <c r="C10" s="171"/>
      <c r="D10" s="171"/>
      <c r="E10" s="171"/>
      <c r="F10" s="171"/>
      <c r="G10" s="171"/>
      <c r="H10" s="171"/>
      <c r="I10" s="171"/>
      <c r="J10" s="172"/>
    </row>
    <row r="11" spans="1:10" s="31" customFormat="1" ht="27.75" customHeight="1">
      <c r="A11" s="170"/>
      <c r="B11" s="171"/>
      <c r="C11" s="171"/>
      <c r="D11" s="171"/>
      <c r="E11" s="171"/>
      <c r="F11" s="171"/>
      <c r="G11" s="171"/>
      <c r="H11" s="171"/>
      <c r="I11" s="171"/>
      <c r="J11" s="172"/>
    </row>
    <row r="12" spans="1:10" s="31" customFormat="1" ht="16.2" thickBot="1">
      <c r="A12" s="41"/>
      <c r="B12" s="42"/>
      <c r="C12" s="42"/>
      <c r="D12" s="42"/>
      <c r="E12" s="42"/>
      <c r="F12" s="42"/>
      <c r="G12" s="42"/>
      <c r="H12" s="42"/>
      <c r="I12" s="42"/>
      <c r="J12" s="43"/>
    </row>
    <row r="13" spans="1:10" s="31" customFormat="1" ht="16.2" thickTop="1">
      <c r="A13" s="44"/>
      <c r="B13" s="45"/>
      <c r="C13" s="45"/>
      <c r="D13" s="45"/>
      <c r="E13" s="45"/>
      <c r="F13" s="45"/>
      <c r="G13" s="45"/>
      <c r="H13" s="45"/>
      <c r="I13" s="45"/>
      <c r="J13" s="46"/>
    </row>
    <row r="14" spans="1:10" s="31" customFormat="1" ht="15.6">
      <c r="A14" s="167" t="s">
        <v>65</v>
      </c>
      <c r="B14" s="168"/>
      <c r="C14" s="168"/>
      <c r="D14" s="168"/>
      <c r="E14" s="168"/>
      <c r="F14" s="168"/>
      <c r="G14" s="168"/>
      <c r="H14" s="168"/>
      <c r="I14" s="168"/>
      <c r="J14" s="169"/>
    </row>
    <row r="15" spans="1:10" s="31" customFormat="1" ht="25.8">
      <c r="A15" s="158" t="s">
        <v>122</v>
      </c>
      <c r="B15" s="159"/>
      <c r="C15" s="159"/>
      <c r="D15" s="159"/>
      <c r="E15" s="159"/>
      <c r="F15" s="159"/>
      <c r="G15" s="159"/>
      <c r="H15" s="159"/>
      <c r="I15" s="159"/>
      <c r="J15" s="160"/>
    </row>
    <row r="16" spans="1:10" s="47" customFormat="1" ht="15.6">
      <c r="A16" s="167" t="s">
        <v>67</v>
      </c>
      <c r="B16" s="168"/>
      <c r="C16" s="168"/>
      <c r="D16" s="168"/>
      <c r="E16" s="168"/>
      <c r="F16" s="168"/>
      <c r="G16" s="168"/>
      <c r="H16" s="168"/>
      <c r="I16" s="168"/>
      <c r="J16" s="169"/>
    </row>
    <row r="17" spans="1:10" s="31" customFormat="1" ht="25.8">
      <c r="A17" s="158" t="s">
        <v>53</v>
      </c>
      <c r="B17" s="159"/>
      <c r="C17" s="159"/>
      <c r="D17" s="159"/>
      <c r="E17" s="159"/>
      <c r="F17" s="159"/>
      <c r="G17" s="159"/>
      <c r="H17" s="159"/>
      <c r="I17" s="159"/>
      <c r="J17" s="160"/>
    </row>
    <row r="18" spans="1:10" s="31" customFormat="1" ht="16.2" thickBot="1">
      <c r="A18" s="48"/>
      <c r="B18" s="49"/>
      <c r="C18" s="49"/>
      <c r="D18" s="49"/>
      <c r="E18" s="49"/>
      <c r="F18" s="49"/>
      <c r="G18" s="49"/>
      <c r="H18" s="49"/>
      <c r="I18" s="49"/>
      <c r="J18" s="50"/>
    </row>
    <row r="19" spans="1:10" s="31" customFormat="1" ht="16.2" thickTop="1">
      <c r="A19" s="146"/>
      <c r="B19" s="147"/>
      <c r="C19" s="147"/>
      <c r="D19" s="147"/>
      <c r="E19" s="147"/>
      <c r="F19" s="147"/>
      <c r="G19" s="147"/>
      <c r="H19" s="147"/>
      <c r="I19" s="147"/>
      <c r="J19" s="147"/>
    </row>
    <row r="20" spans="1:10" s="31" customFormat="1" ht="15.6">
      <c r="A20" s="148"/>
      <c r="B20" s="149"/>
      <c r="C20" s="149"/>
      <c r="D20" s="149"/>
      <c r="E20" s="149"/>
      <c r="F20" s="149"/>
      <c r="G20" s="149"/>
      <c r="H20" s="149"/>
      <c r="I20" s="149"/>
      <c r="J20" s="149"/>
    </row>
    <row r="21" spans="1:10" s="31" customFormat="1" ht="15.6">
      <c r="A21" s="148"/>
      <c r="B21" s="149"/>
      <c r="C21" s="149"/>
      <c r="D21" s="149"/>
      <c r="E21" s="149"/>
      <c r="F21" s="149"/>
      <c r="G21" s="149"/>
      <c r="H21" s="149"/>
      <c r="I21" s="149"/>
      <c r="J21" s="149"/>
    </row>
    <row r="22" spans="1:10" s="31" customFormat="1" ht="15.6">
      <c r="A22" s="148"/>
      <c r="B22" s="149"/>
      <c r="C22" s="149"/>
      <c r="D22" s="149"/>
      <c r="E22" s="149"/>
      <c r="F22" s="149"/>
      <c r="G22" s="149"/>
      <c r="H22" s="149"/>
      <c r="I22" s="149"/>
      <c r="J22" s="149"/>
    </row>
    <row r="23" spans="1:10" s="31" customFormat="1" ht="15.6">
      <c r="A23" s="148"/>
      <c r="B23" s="149"/>
      <c r="C23" s="149"/>
      <c r="D23" s="149"/>
      <c r="E23" s="149"/>
      <c r="F23" s="149"/>
      <c r="G23" s="149"/>
      <c r="H23" s="149"/>
      <c r="I23" s="149"/>
      <c r="J23" s="149"/>
    </row>
    <row r="24" spans="1:10" s="31" customFormat="1" ht="15.6">
      <c r="A24" s="148"/>
      <c r="B24" s="149"/>
      <c r="C24" s="149"/>
      <c r="D24" s="149"/>
      <c r="E24" s="149"/>
      <c r="F24" s="149"/>
      <c r="G24" s="149"/>
      <c r="H24" s="149"/>
      <c r="I24" s="149"/>
      <c r="J24" s="149"/>
    </row>
    <row r="25" spans="1:10" s="31" customFormat="1" ht="15.6">
      <c r="A25" s="148"/>
      <c r="B25" s="149"/>
      <c r="C25" s="149"/>
      <c r="D25" s="149"/>
      <c r="E25" s="149"/>
      <c r="F25" s="149"/>
      <c r="G25" s="149"/>
      <c r="H25" s="149"/>
      <c r="I25" s="149"/>
      <c r="J25" s="149"/>
    </row>
    <row r="26" spans="1:10" s="31" customFormat="1" ht="23.25" customHeight="1">
      <c r="A26" s="148"/>
      <c r="B26" s="149"/>
      <c r="C26" s="149"/>
      <c r="D26" s="149"/>
      <c r="E26" s="149"/>
      <c r="F26" s="149"/>
      <c r="G26" s="149"/>
      <c r="H26" s="149"/>
      <c r="I26" s="149"/>
      <c r="J26" s="149"/>
    </row>
    <row r="27" spans="1:10" s="31" customFormat="1" ht="23.25" customHeight="1">
      <c r="A27" s="148"/>
      <c r="B27" s="149"/>
      <c r="C27" s="149"/>
      <c r="D27" s="149"/>
      <c r="E27" s="149"/>
      <c r="F27" s="149"/>
      <c r="G27" s="149"/>
      <c r="H27" s="149"/>
      <c r="I27" s="149"/>
      <c r="J27" s="149"/>
    </row>
    <row r="28" spans="1:10" s="31" customFormat="1" ht="23.25" customHeight="1">
      <c r="A28" s="148"/>
      <c r="B28" s="149"/>
      <c r="C28" s="149"/>
      <c r="D28" s="149"/>
      <c r="E28" s="149"/>
      <c r="F28" s="149"/>
      <c r="G28" s="149"/>
      <c r="H28" s="149"/>
      <c r="I28" s="149"/>
      <c r="J28" s="149"/>
    </row>
    <row r="29" spans="1:10" s="31" customFormat="1" ht="23.25" customHeight="1">
      <c r="A29" s="148"/>
      <c r="B29" s="149"/>
      <c r="C29" s="149"/>
      <c r="D29" s="149"/>
      <c r="E29" s="149"/>
      <c r="F29" s="149"/>
      <c r="G29" s="149"/>
      <c r="H29" s="149"/>
      <c r="I29" s="149"/>
      <c r="J29" s="149"/>
    </row>
    <row r="30" spans="1:10" s="31" customFormat="1" ht="23.25" customHeight="1">
      <c r="A30" s="148"/>
      <c r="B30" s="149"/>
      <c r="C30" s="149"/>
      <c r="D30" s="149"/>
      <c r="E30" s="149"/>
      <c r="F30" s="149"/>
      <c r="G30" s="149"/>
      <c r="H30" s="149"/>
      <c r="I30" s="149"/>
      <c r="J30" s="149"/>
    </row>
    <row r="31" spans="1:10" ht="23.25" customHeight="1">
      <c r="A31" s="148"/>
      <c r="B31" s="149"/>
      <c r="C31" s="149"/>
      <c r="D31" s="149"/>
      <c r="E31" s="149"/>
      <c r="F31" s="149"/>
      <c r="G31" s="149"/>
      <c r="H31" s="149"/>
      <c r="I31" s="149"/>
      <c r="J31" s="149"/>
    </row>
    <row r="32" spans="1:10" ht="23.25" customHeight="1">
      <c r="A32" s="148"/>
      <c r="B32" s="149"/>
      <c r="C32" s="149"/>
      <c r="D32" s="149"/>
      <c r="E32" s="149"/>
      <c r="F32" s="149"/>
      <c r="G32" s="149"/>
      <c r="H32" s="149"/>
      <c r="I32" s="149"/>
      <c r="J32" s="149"/>
    </row>
    <row r="33" spans="1:10" ht="23.25" customHeight="1">
      <c r="A33" s="148"/>
      <c r="B33" s="149"/>
      <c r="C33" s="149"/>
      <c r="D33" s="149"/>
      <c r="E33" s="149"/>
      <c r="F33" s="149"/>
      <c r="G33" s="149"/>
      <c r="H33" s="149"/>
      <c r="I33" s="149"/>
      <c r="J33" s="149"/>
    </row>
    <row r="34" spans="1:10" ht="15" customHeight="1">
      <c r="A34" s="148"/>
      <c r="B34" s="149"/>
      <c r="C34" s="149"/>
      <c r="D34" s="149"/>
      <c r="E34" s="149"/>
      <c r="F34" s="149"/>
      <c r="G34" s="149"/>
      <c r="H34" s="149"/>
      <c r="I34" s="149"/>
      <c r="J34" s="149"/>
    </row>
    <row r="35" spans="1:10" ht="15" customHeight="1">
      <c r="A35" s="148"/>
      <c r="B35" s="149"/>
      <c r="C35" s="149"/>
      <c r="D35" s="149"/>
      <c r="E35" s="149"/>
      <c r="F35" s="149"/>
      <c r="G35" s="149"/>
      <c r="H35" s="149"/>
      <c r="I35" s="149"/>
      <c r="J35" s="149"/>
    </row>
    <row r="36" spans="1:10" ht="15.75" customHeight="1">
      <c r="A36" s="148"/>
      <c r="B36" s="149"/>
      <c r="C36" s="149"/>
      <c r="D36" s="149"/>
      <c r="E36" s="149"/>
      <c r="F36" s="149"/>
      <c r="G36" s="149"/>
      <c r="H36" s="149"/>
      <c r="I36" s="149"/>
      <c r="J36" s="149"/>
    </row>
    <row r="37" spans="1:10" ht="15.75" customHeight="1">
      <c r="A37" s="148"/>
      <c r="B37" s="149"/>
      <c r="C37" s="149"/>
      <c r="D37" s="149"/>
      <c r="E37" s="149"/>
      <c r="F37" s="149"/>
      <c r="G37" s="149"/>
      <c r="H37" s="149"/>
      <c r="I37" s="149"/>
      <c r="J37" s="149"/>
    </row>
    <row r="38" spans="1:10" ht="16.5" customHeight="1" thickBot="1">
      <c r="A38" s="150"/>
      <c r="B38" s="151"/>
      <c r="C38" s="151"/>
      <c r="D38" s="151"/>
      <c r="E38" s="151"/>
      <c r="F38" s="151"/>
      <c r="G38" s="151"/>
      <c r="H38" s="151"/>
      <c r="I38" s="151"/>
      <c r="J38" s="151"/>
    </row>
    <row r="39" spans="1:10" ht="16.2" thickTop="1">
      <c r="A39" s="52"/>
      <c r="B39" s="53"/>
      <c r="C39" s="53"/>
      <c r="D39" s="53"/>
      <c r="E39" s="53"/>
      <c r="F39" s="53"/>
      <c r="G39" s="53"/>
      <c r="H39" s="53"/>
      <c r="I39" s="53"/>
      <c r="J39" s="54"/>
    </row>
    <row r="40" spans="1:10">
      <c r="A40" s="55"/>
      <c r="B40" s="56"/>
      <c r="C40" s="56"/>
      <c r="D40" s="56"/>
      <c r="E40" s="56"/>
      <c r="F40" s="56"/>
      <c r="G40" s="56"/>
      <c r="H40" s="56"/>
      <c r="I40" s="56"/>
      <c r="J40" s="57"/>
    </row>
    <row r="41" spans="1:10" ht="18">
      <c r="A41" s="152" t="s">
        <v>66</v>
      </c>
      <c r="B41" s="153"/>
      <c r="C41" s="153"/>
      <c r="D41" s="153"/>
      <c r="E41" s="153"/>
      <c r="F41" s="153"/>
      <c r="G41" s="153"/>
      <c r="H41" s="153"/>
      <c r="I41" s="153"/>
      <c r="J41" s="154"/>
    </row>
    <row r="42" spans="1:10" ht="18.600000000000001" thickBot="1">
      <c r="A42" s="155">
        <v>45608</v>
      </c>
      <c r="B42" s="156"/>
      <c r="C42" s="156"/>
      <c r="D42" s="156"/>
      <c r="E42" s="156"/>
      <c r="F42" s="156"/>
      <c r="G42" s="156"/>
      <c r="H42" s="156"/>
      <c r="I42" s="156"/>
      <c r="J42" s="157"/>
    </row>
    <row r="43" spans="1:10" ht="15" thickTop="1"/>
  </sheetData>
  <mergeCells count="10">
    <mergeCell ref="A19:J38"/>
    <mergeCell ref="A41:J41"/>
    <mergeCell ref="A42:J42"/>
    <mergeCell ref="A17:J17"/>
    <mergeCell ref="A1:J5"/>
    <mergeCell ref="A9:J9"/>
    <mergeCell ref="A10:J11"/>
    <mergeCell ref="A14:J14"/>
    <mergeCell ref="A15:J15"/>
    <mergeCell ref="A16:J16"/>
  </mergeCells>
  <pageMargins left="0.7" right="0.7" top="0.53" bottom="0.5" header="0.3" footer="0.3"/>
  <pageSetup scale="94" firstPageNumber="0" orientation="portrait" horizontalDpi="300"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activeCell="A21" sqref="A21"/>
    </sheetView>
  </sheetViews>
  <sheetFormatPr defaultColWidth="8" defaultRowHeight="15.6"/>
  <cols>
    <col min="1" max="1" width="109.44140625" style="62" customWidth="1"/>
    <col min="2" max="5" width="1" style="60" customWidth="1"/>
    <col min="6" max="6" width="5" style="60" customWidth="1"/>
    <col min="7" max="9" width="1" style="60" customWidth="1"/>
    <col min="10" max="10" width="1.6640625" style="60" customWidth="1"/>
    <col min="11" max="11" width="1" style="60" customWidth="1"/>
    <col min="12" max="12" width="17" style="60" customWidth="1"/>
    <col min="13" max="13" width="9.6640625" style="60" customWidth="1"/>
    <col min="14" max="14" width="1" style="60" customWidth="1"/>
    <col min="15" max="16" width="1.6640625" style="60" customWidth="1"/>
    <col min="17" max="17" width="4" style="60" customWidth="1"/>
    <col min="18" max="18" width="2.6640625" style="60" customWidth="1"/>
    <col min="19" max="22" width="1" style="60" customWidth="1"/>
    <col min="23" max="24" width="1.6640625" style="60" customWidth="1"/>
    <col min="25" max="26" width="1" style="60" customWidth="1"/>
    <col min="27" max="28" width="1.6640625" style="60" customWidth="1"/>
    <col min="29" max="29" width="2.6640625" style="60" customWidth="1"/>
    <col min="30" max="34" width="1" style="60" customWidth="1"/>
    <col min="35" max="35" width="2.6640625" style="60" customWidth="1"/>
    <col min="36" max="36" width="1" style="60" customWidth="1"/>
    <col min="37" max="37" width="2.6640625" style="60" customWidth="1"/>
    <col min="38" max="38" width="1" style="60" customWidth="1"/>
    <col min="39" max="39" width="2.6640625" style="60" customWidth="1"/>
    <col min="40" max="43" width="1" style="60" customWidth="1"/>
    <col min="44" max="47" width="1.6640625" style="60" customWidth="1"/>
    <col min="48" max="48" width="1" style="60" customWidth="1"/>
    <col min="49" max="49" width="1.6640625" style="60" customWidth="1"/>
    <col min="50" max="51" width="1" style="60" customWidth="1"/>
    <col min="52" max="52" width="1.6640625" style="60" customWidth="1"/>
    <col min="53" max="53" width="5" style="60" customWidth="1"/>
    <col min="54" max="54" width="1" style="60" customWidth="1"/>
    <col min="55" max="55" width="4" style="60" customWidth="1"/>
    <col min="56" max="56" width="1" style="60" customWidth="1"/>
    <col min="57" max="57" width="2.6640625" style="60" customWidth="1"/>
    <col min="58" max="58" width="1" style="60" customWidth="1"/>
    <col min="59" max="60" width="1.6640625" style="60" customWidth="1"/>
    <col min="61" max="61" width="2.6640625" style="60" customWidth="1"/>
    <col min="62" max="63" width="1.6640625" style="60" customWidth="1"/>
    <col min="64" max="66" width="1" style="60" customWidth="1"/>
    <col min="67" max="67" width="1.6640625" style="60" customWidth="1"/>
    <col min="68" max="68" width="1" style="60" customWidth="1"/>
    <col min="69" max="69" width="2.6640625" style="60" customWidth="1"/>
    <col min="70" max="70" width="1.6640625" style="60" customWidth="1"/>
    <col min="71" max="71" width="1" style="60" customWidth="1"/>
    <col min="72" max="72" width="2.6640625" style="60" customWidth="1"/>
    <col min="73" max="73" width="1.6640625" style="60" customWidth="1"/>
    <col min="74" max="74" width="1" style="60" customWidth="1"/>
    <col min="75" max="75" width="1.6640625" style="60" customWidth="1"/>
    <col min="76" max="79" width="1" style="60" customWidth="1"/>
    <col min="80" max="16384" width="8" style="60"/>
  </cols>
  <sheetData>
    <row r="1" spans="1:1">
      <c r="A1" s="59"/>
    </row>
    <row r="2" spans="1:1">
      <c r="A2" s="61" t="s">
        <v>68</v>
      </c>
    </row>
    <row r="3" spans="1:1">
      <c r="A3" s="59" t="s">
        <v>69</v>
      </c>
    </row>
    <row r="4" spans="1:1">
      <c r="A4" s="59" t="s">
        <v>70</v>
      </c>
    </row>
    <row r="5" spans="1:1">
      <c r="A5" s="59" t="s">
        <v>123</v>
      </c>
    </row>
    <row r="6" spans="1:1" ht="78">
      <c r="A6" s="59" t="s">
        <v>71</v>
      </c>
    </row>
    <row r="7" spans="1:1" ht="46.8">
      <c r="A7" s="59" t="s">
        <v>72</v>
      </c>
    </row>
    <row r="8" spans="1:1" ht="46.8">
      <c r="A8" s="59" t="s">
        <v>73</v>
      </c>
    </row>
    <row r="9" spans="1:1">
      <c r="A9" s="59" t="s">
        <v>74</v>
      </c>
    </row>
    <row r="10" spans="1:1" ht="31.2">
      <c r="A10" s="59" t="s">
        <v>75</v>
      </c>
    </row>
    <row r="11" spans="1:1" ht="31.2">
      <c r="A11" s="59" t="s">
        <v>76</v>
      </c>
    </row>
    <row r="12" spans="1:1" ht="46.8">
      <c r="A12" s="59" t="s">
        <v>77</v>
      </c>
    </row>
    <row r="13" spans="1:1">
      <c r="A13" s="59" t="s">
        <v>78</v>
      </c>
    </row>
    <row r="14" spans="1:1" ht="46.8">
      <c r="A14" s="59" t="s">
        <v>79</v>
      </c>
    </row>
    <row r="15" spans="1:1" ht="18" customHeight="1">
      <c r="A15" s="59" t="s">
        <v>80</v>
      </c>
    </row>
    <row r="16" spans="1:1">
      <c r="A16" s="59" t="s">
        <v>81</v>
      </c>
    </row>
    <row r="17" spans="1:1">
      <c r="A17" s="59" t="s">
        <v>82</v>
      </c>
    </row>
    <row r="18" spans="1:1">
      <c r="A18" s="59" t="s">
        <v>83</v>
      </c>
    </row>
    <row r="19" spans="1:1">
      <c r="A19" s="59" t="s">
        <v>84</v>
      </c>
    </row>
    <row r="20" spans="1:1">
      <c r="A20" s="59" t="s">
        <v>85</v>
      </c>
    </row>
    <row r="21" spans="1:1" ht="31.2">
      <c r="A21" s="59" t="s">
        <v>86</v>
      </c>
    </row>
    <row r="22" spans="1:1" ht="46.8">
      <c r="A22" s="62" t="s">
        <v>87</v>
      </c>
    </row>
    <row r="23" spans="1:1">
      <c r="A23" s="59" t="s">
        <v>88</v>
      </c>
    </row>
    <row r="24" spans="1:1">
      <c r="A24" s="59" t="s">
        <v>89</v>
      </c>
    </row>
    <row r="25" spans="1:1" ht="31.2">
      <c r="A25" s="59" t="s">
        <v>90</v>
      </c>
    </row>
    <row r="26" spans="1:1">
      <c r="A26" s="59" t="s">
        <v>91</v>
      </c>
    </row>
    <row r="27" spans="1:1" ht="31.2">
      <c r="A27" s="59" t="s">
        <v>92</v>
      </c>
    </row>
    <row r="28" spans="1:1">
      <c r="A28" s="59" t="s">
        <v>93</v>
      </c>
    </row>
    <row r="29" spans="1:1">
      <c r="A29" s="59" t="s">
        <v>94</v>
      </c>
    </row>
    <row r="30" spans="1:1">
      <c r="A30" s="59" t="s">
        <v>95</v>
      </c>
    </row>
    <row r="31" spans="1:1" ht="31.2">
      <c r="A31" s="59" t="s">
        <v>96</v>
      </c>
    </row>
    <row r="32" spans="1:1" ht="46.8">
      <c r="A32" s="59" t="s">
        <v>97</v>
      </c>
    </row>
    <row r="33" spans="1:1" ht="31.2">
      <c r="A33" s="59" t="s">
        <v>98</v>
      </c>
    </row>
    <row r="34" spans="1:1" ht="37.950000000000003" customHeight="1">
      <c r="A34" s="59" t="s">
        <v>99</v>
      </c>
    </row>
    <row r="35" spans="1:1" ht="31.2">
      <c r="A35" s="59" t="s">
        <v>100</v>
      </c>
    </row>
    <row r="36" spans="1:1" ht="46.8">
      <c r="A36" s="59" t="s">
        <v>101</v>
      </c>
    </row>
    <row r="37" spans="1:1" ht="46.8">
      <c r="A37" s="59" t="s">
        <v>102</v>
      </c>
    </row>
    <row r="38" spans="1:1" ht="46.8">
      <c r="A38" s="59" t="s">
        <v>103</v>
      </c>
    </row>
    <row r="39" spans="1:1" ht="31.2">
      <c r="A39" s="59" t="s">
        <v>104</v>
      </c>
    </row>
    <row r="40" spans="1:1" ht="31.2">
      <c r="A40" s="59" t="s">
        <v>105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29"/>
  <sheetViews>
    <sheetView view="pageBreakPreview" zoomScale="60" zoomScaleNormal="100" workbookViewId="0">
      <selection activeCell="F16" sqref="F16"/>
    </sheetView>
  </sheetViews>
  <sheetFormatPr defaultColWidth="8.6640625" defaultRowHeight="22.8"/>
  <cols>
    <col min="1" max="1" width="77.44140625" style="1" bestFit="1" customWidth="1"/>
    <col min="2" max="2" width="13.44140625" style="11" customWidth="1"/>
    <col min="3" max="3" width="29.44140625" style="1" bestFit="1" customWidth="1"/>
    <col min="4" max="4" width="18.44140625" style="1" bestFit="1" customWidth="1"/>
    <col min="5" max="5" width="13.44140625" style="1" bestFit="1" customWidth="1"/>
    <col min="6" max="6" width="18.33203125" style="1" bestFit="1" customWidth="1"/>
    <col min="7" max="249" width="9.109375" style="1"/>
    <col min="250" max="250" width="13.44140625" style="1" customWidth="1"/>
    <col min="251" max="251" width="71.6640625" style="1" customWidth="1"/>
    <col min="252" max="252" width="8" style="1" customWidth="1"/>
    <col min="253" max="253" width="10.44140625" style="1" customWidth="1"/>
    <col min="254" max="254" width="17.109375" style="1" customWidth="1"/>
    <col min="255" max="255" width="22" style="1" customWidth="1"/>
    <col min="256" max="256" width="9.109375" style="1"/>
    <col min="257" max="257" width="9.44140625" style="1" customWidth="1"/>
    <col min="258" max="260" width="14.44140625" style="1" bestFit="1" customWidth="1"/>
    <col min="261" max="261" width="10.6640625" style="1" bestFit="1" customWidth="1"/>
    <col min="262" max="262" width="12.44140625" style="1" bestFit="1" customWidth="1"/>
    <col min="263" max="505" width="9.109375" style="1"/>
    <col min="506" max="506" width="13.44140625" style="1" customWidth="1"/>
    <col min="507" max="507" width="71.6640625" style="1" customWidth="1"/>
    <col min="508" max="508" width="8" style="1" customWidth="1"/>
    <col min="509" max="509" width="10.44140625" style="1" customWidth="1"/>
    <col min="510" max="510" width="17.109375" style="1" customWidth="1"/>
    <col min="511" max="511" width="22" style="1" customWidth="1"/>
    <col min="512" max="512" width="9.109375" style="1"/>
    <col min="513" max="513" width="9.44140625" style="1" customWidth="1"/>
    <col min="514" max="516" width="14.44140625" style="1" bestFit="1" customWidth="1"/>
    <col min="517" max="517" width="10.6640625" style="1" bestFit="1" customWidth="1"/>
    <col min="518" max="518" width="12.44140625" style="1" bestFit="1" customWidth="1"/>
    <col min="519" max="761" width="9.109375" style="1"/>
    <col min="762" max="762" width="13.44140625" style="1" customWidth="1"/>
    <col min="763" max="763" width="71.6640625" style="1" customWidth="1"/>
    <col min="764" max="764" width="8" style="1" customWidth="1"/>
    <col min="765" max="765" width="10.44140625" style="1" customWidth="1"/>
    <col min="766" max="766" width="17.109375" style="1" customWidth="1"/>
    <col min="767" max="767" width="22" style="1" customWidth="1"/>
    <col min="768" max="768" width="9.109375" style="1"/>
    <col min="769" max="769" width="9.44140625" style="1" customWidth="1"/>
    <col min="770" max="772" width="14.44140625" style="1" bestFit="1" customWidth="1"/>
    <col min="773" max="773" width="10.6640625" style="1" bestFit="1" customWidth="1"/>
    <col min="774" max="774" width="12.44140625" style="1" bestFit="1" customWidth="1"/>
    <col min="775" max="1017" width="9.109375" style="1"/>
    <col min="1018" max="1018" width="13.44140625" style="1" customWidth="1"/>
    <col min="1019" max="1019" width="71.6640625" style="1" customWidth="1"/>
    <col min="1020" max="1020" width="8" style="1" customWidth="1"/>
    <col min="1021" max="1021" width="10.44140625" style="1" customWidth="1"/>
    <col min="1022" max="1022" width="17.109375" style="1" customWidth="1"/>
    <col min="1023" max="1023" width="22" style="1" customWidth="1"/>
    <col min="1024" max="1024" width="9.109375" style="1"/>
    <col min="1025" max="1025" width="9.44140625" style="1" customWidth="1"/>
    <col min="1026" max="1028" width="14.44140625" style="1" bestFit="1" customWidth="1"/>
    <col min="1029" max="1029" width="10.6640625" style="1" bestFit="1" customWidth="1"/>
    <col min="1030" max="1030" width="12.44140625" style="1" bestFit="1" customWidth="1"/>
    <col min="1031" max="1273" width="9.109375" style="1"/>
    <col min="1274" max="1274" width="13.44140625" style="1" customWidth="1"/>
    <col min="1275" max="1275" width="71.6640625" style="1" customWidth="1"/>
    <col min="1276" max="1276" width="8" style="1" customWidth="1"/>
    <col min="1277" max="1277" width="10.44140625" style="1" customWidth="1"/>
    <col min="1278" max="1278" width="17.109375" style="1" customWidth="1"/>
    <col min="1279" max="1279" width="22" style="1" customWidth="1"/>
    <col min="1280" max="1280" width="9.109375" style="1"/>
    <col min="1281" max="1281" width="9.44140625" style="1" customWidth="1"/>
    <col min="1282" max="1284" width="14.44140625" style="1" bestFit="1" customWidth="1"/>
    <col min="1285" max="1285" width="10.6640625" style="1" bestFit="1" customWidth="1"/>
    <col min="1286" max="1286" width="12.44140625" style="1" bestFit="1" customWidth="1"/>
    <col min="1287" max="1529" width="9.109375" style="1"/>
    <col min="1530" max="1530" width="13.44140625" style="1" customWidth="1"/>
    <col min="1531" max="1531" width="71.6640625" style="1" customWidth="1"/>
    <col min="1532" max="1532" width="8" style="1" customWidth="1"/>
    <col min="1533" max="1533" width="10.44140625" style="1" customWidth="1"/>
    <col min="1534" max="1534" width="17.109375" style="1" customWidth="1"/>
    <col min="1535" max="1535" width="22" style="1" customWidth="1"/>
    <col min="1536" max="1536" width="9.109375" style="1"/>
    <col min="1537" max="1537" width="9.44140625" style="1" customWidth="1"/>
    <col min="1538" max="1540" width="14.44140625" style="1" bestFit="1" customWidth="1"/>
    <col min="1541" max="1541" width="10.6640625" style="1" bestFit="1" customWidth="1"/>
    <col min="1542" max="1542" width="12.44140625" style="1" bestFit="1" customWidth="1"/>
    <col min="1543" max="1785" width="9.109375" style="1"/>
    <col min="1786" max="1786" width="13.44140625" style="1" customWidth="1"/>
    <col min="1787" max="1787" width="71.6640625" style="1" customWidth="1"/>
    <col min="1788" max="1788" width="8" style="1" customWidth="1"/>
    <col min="1789" max="1789" width="10.44140625" style="1" customWidth="1"/>
    <col min="1790" max="1790" width="17.109375" style="1" customWidth="1"/>
    <col min="1791" max="1791" width="22" style="1" customWidth="1"/>
    <col min="1792" max="1792" width="9.109375" style="1"/>
    <col min="1793" max="1793" width="9.44140625" style="1" customWidth="1"/>
    <col min="1794" max="1796" width="14.44140625" style="1" bestFit="1" customWidth="1"/>
    <col min="1797" max="1797" width="10.6640625" style="1" bestFit="1" customWidth="1"/>
    <col min="1798" max="1798" width="12.44140625" style="1" bestFit="1" customWidth="1"/>
    <col min="1799" max="2041" width="9.109375" style="1"/>
    <col min="2042" max="2042" width="13.44140625" style="1" customWidth="1"/>
    <col min="2043" max="2043" width="71.6640625" style="1" customWidth="1"/>
    <col min="2044" max="2044" width="8" style="1" customWidth="1"/>
    <col min="2045" max="2045" width="10.44140625" style="1" customWidth="1"/>
    <col min="2046" max="2046" width="17.109375" style="1" customWidth="1"/>
    <col min="2047" max="2047" width="22" style="1" customWidth="1"/>
    <col min="2048" max="2048" width="9.109375" style="1"/>
    <col min="2049" max="2049" width="9.44140625" style="1" customWidth="1"/>
    <col min="2050" max="2052" width="14.44140625" style="1" bestFit="1" customWidth="1"/>
    <col min="2053" max="2053" width="10.6640625" style="1" bestFit="1" customWidth="1"/>
    <col min="2054" max="2054" width="12.44140625" style="1" bestFit="1" customWidth="1"/>
    <col min="2055" max="2297" width="9.109375" style="1"/>
    <col min="2298" max="2298" width="13.44140625" style="1" customWidth="1"/>
    <col min="2299" max="2299" width="71.6640625" style="1" customWidth="1"/>
    <col min="2300" max="2300" width="8" style="1" customWidth="1"/>
    <col min="2301" max="2301" width="10.44140625" style="1" customWidth="1"/>
    <col min="2302" max="2302" width="17.109375" style="1" customWidth="1"/>
    <col min="2303" max="2303" width="22" style="1" customWidth="1"/>
    <col min="2304" max="2304" width="9.109375" style="1"/>
    <col min="2305" max="2305" width="9.44140625" style="1" customWidth="1"/>
    <col min="2306" max="2308" width="14.44140625" style="1" bestFit="1" customWidth="1"/>
    <col min="2309" max="2309" width="10.6640625" style="1" bestFit="1" customWidth="1"/>
    <col min="2310" max="2310" width="12.44140625" style="1" bestFit="1" customWidth="1"/>
    <col min="2311" max="2553" width="9.109375" style="1"/>
    <col min="2554" max="2554" width="13.44140625" style="1" customWidth="1"/>
    <col min="2555" max="2555" width="71.6640625" style="1" customWidth="1"/>
    <col min="2556" max="2556" width="8" style="1" customWidth="1"/>
    <col min="2557" max="2557" width="10.44140625" style="1" customWidth="1"/>
    <col min="2558" max="2558" width="17.109375" style="1" customWidth="1"/>
    <col min="2559" max="2559" width="22" style="1" customWidth="1"/>
    <col min="2560" max="2560" width="9.109375" style="1"/>
    <col min="2561" max="2561" width="9.44140625" style="1" customWidth="1"/>
    <col min="2562" max="2564" width="14.44140625" style="1" bestFit="1" customWidth="1"/>
    <col min="2565" max="2565" width="10.6640625" style="1" bestFit="1" customWidth="1"/>
    <col min="2566" max="2566" width="12.44140625" style="1" bestFit="1" customWidth="1"/>
    <col min="2567" max="2809" width="9.109375" style="1"/>
    <col min="2810" max="2810" width="13.44140625" style="1" customWidth="1"/>
    <col min="2811" max="2811" width="71.6640625" style="1" customWidth="1"/>
    <col min="2812" max="2812" width="8" style="1" customWidth="1"/>
    <col min="2813" max="2813" width="10.44140625" style="1" customWidth="1"/>
    <col min="2814" max="2814" width="17.109375" style="1" customWidth="1"/>
    <col min="2815" max="2815" width="22" style="1" customWidth="1"/>
    <col min="2816" max="2816" width="9.109375" style="1"/>
    <col min="2817" max="2817" width="9.44140625" style="1" customWidth="1"/>
    <col min="2818" max="2820" width="14.44140625" style="1" bestFit="1" customWidth="1"/>
    <col min="2821" max="2821" width="10.6640625" style="1" bestFit="1" customWidth="1"/>
    <col min="2822" max="2822" width="12.44140625" style="1" bestFit="1" customWidth="1"/>
    <col min="2823" max="3065" width="9.109375" style="1"/>
    <col min="3066" max="3066" width="13.44140625" style="1" customWidth="1"/>
    <col min="3067" max="3067" width="71.6640625" style="1" customWidth="1"/>
    <col min="3068" max="3068" width="8" style="1" customWidth="1"/>
    <col min="3069" max="3069" width="10.44140625" style="1" customWidth="1"/>
    <col min="3070" max="3070" width="17.109375" style="1" customWidth="1"/>
    <col min="3071" max="3071" width="22" style="1" customWidth="1"/>
    <col min="3072" max="3072" width="9.109375" style="1"/>
    <col min="3073" max="3073" width="9.44140625" style="1" customWidth="1"/>
    <col min="3074" max="3076" width="14.44140625" style="1" bestFit="1" customWidth="1"/>
    <col min="3077" max="3077" width="10.6640625" style="1" bestFit="1" customWidth="1"/>
    <col min="3078" max="3078" width="12.44140625" style="1" bestFit="1" customWidth="1"/>
    <col min="3079" max="3321" width="9.109375" style="1"/>
    <col min="3322" max="3322" width="13.44140625" style="1" customWidth="1"/>
    <col min="3323" max="3323" width="71.6640625" style="1" customWidth="1"/>
    <col min="3324" max="3324" width="8" style="1" customWidth="1"/>
    <col min="3325" max="3325" width="10.44140625" style="1" customWidth="1"/>
    <col min="3326" max="3326" width="17.109375" style="1" customWidth="1"/>
    <col min="3327" max="3327" width="22" style="1" customWidth="1"/>
    <col min="3328" max="3328" width="9.109375" style="1"/>
    <col min="3329" max="3329" width="9.44140625" style="1" customWidth="1"/>
    <col min="3330" max="3332" width="14.44140625" style="1" bestFit="1" customWidth="1"/>
    <col min="3333" max="3333" width="10.6640625" style="1" bestFit="1" customWidth="1"/>
    <col min="3334" max="3334" width="12.44140625" style="1" bestFit="1" customWidth="1"/>
    <col min="3335" max="3577" width="9.109375" style="1"/>
    <col min="3578" max="3578" width="13.44140625" style="1" customWidth="1"/>
    <col min="3579" max="3579" width="71.6640625" style="1" customWidth="1"/>
    <col min="3580" max="3580" width="8" style="1" customWidth="1"/>
    <col min="3581" max="3581" width="10.44140625" style="1" customWidth="1"/>
    <col min="3582" max="3582" width="17.109375" style="1" customWidth="1"/>
    <col min="3583" max="3583" width="22" style="1" customWidth="1"/>
    <col min="3584" max="3584" width="9.109375" style="1"/>
    <col min="3585" max="3585" width="9.44140625" style="1" customWidth="1"/>
    <col min="3586" max="3588" width="14.44140625" style="1" bestFit="1" customWidth="1"/>
    <col min="3589" max="3589" width="10.6640625" style="1" bestFit="1" customWidth="1"/>
    <col min="3590" max="3590" width="12.44140625" style="1" bestFit="1" customWidth="1"/>
    <col min="3591" max="3833" width="9.109375" style="1"/>
    <col min="3834" max="3834" width="13.44140625" style="1" customWidth="1"/>
    <col min="3835" max="3835" width="71.6640625" style="1" customWidth="1"/>
    <col min="3836" max="3836" width="8" style="1" customWidth="1"/>
    <col min="3837" max="3837" width="10.44140625" style="1" customWidth="1"/>
    <col min="3838" max="3838" width="17.109375" style="1" customWidth="1"/>
    <col min="3839" max="3839" width="22" style="1" customWidth="1"/>
    <col min="3840" max="3840" width="9.109375" style="1"/>
    <col min="3841" max="3841" width="9.44140625" style="1" customWidth="1"/>
    <col min="3842" max="3844" width="14.44140625" style="1" bestFit="1" customWidth="1"/>
    <col min="3845" max="3845" width="10.6640625" style="1" bestFit="1" customWidth="1"/>
    <col min="3846" max="3846" width="12.44140625" style="1" bestFit="1" customWidth="1"/>
    <col min="3847" max="4089" width="9.109375" style="1"/>
    <col min="4090" max="4090" width="13.44140625" style="1" customWidth="1"/>
    <col min="4091" max="4091" width="71.6640625" style="1" customWidth="1"/>
    <col min="4092" max="4092" width="8" style="1" customWidth="1"/>
    <col min="4093" max="4093" width="10.44140625" style="1" customWidth="1"/>
    <col min="4094" max="4094" width="17.109375" style="1" customWidth="1"/>
    <col min="4095" max="4095" width="22" style="1" customWidth="1"/>
    <col min="4096" max="4096" width="9.109375" style="1"/>
    <col min="4097" max="4097" width="9.44140625" style="1" customWidth="1"/>
    <col min="4098" max="4100" width="14.44140625" style="1" bestFit="1" customWidth="1"/>
    <col min="4101" max="4101" width="10.6640625" style="1" bestFit="1" customWidth="1"/>
    <col min="4102" max="4102" width="12.44140625" style="1" bestFit="1" customWidth="1"/>
    <col min="4103" max="4345" width="9.109375" style="1"/>
    <col min="4346" max="4346" width="13.44140625" style="1" customWidth="1"/>
    <col min="4347" max="4347" width="71.6640625" style="1" customWidth="1"/>
    <col min="4348" max="4348" width="8" style="1" customWidth="1"/>
    <col min="4349" max="4349" width="10.44140625" style="1" customWidth="1"/>
    <col min="4350" max="4350" width="17.109375" style="1" customWidth="1"/>
    <col min="4351" max="4351" width="22" style="1" customWidth="1"/>
    <col min="4352" max="4352" width="9.109375" style="1"/>
    <col min="4353" max="4353" width="9.44140625" style="1" customWidth="1"/>
    <col min="4354" max="4356" width="14.44140625" style="1" bestFit="1" customWidth="1"/>
    <col min="4357" max="4357" width="10.6640625" style="1" bestFit="1" customWidth="1"/>
    <col min="4358" max="4358" width="12.44140625" style="1" bestFit="1" customWidth="1"/>
    <col min="4359" max="4601" width="9.109375" style="1"/>
    <col min="4602" max="4602" width="13.44140625" style="1" customWidth="1"/>
    <col min="4603" max="4603" width="71.6640625" style="1" customWidth="1"/>
    <col min="4604" max="4604" width="8" style="1" customWidth="1"/>
    <col min="4605" max="4605" width="10.44140625" style="1" customWidth="1"/>
    <col min="4606" max="4606" width="17.109375" style="1" customWidth="1"/>
    <col min="4607" max="4607" width="22" style="1" customWidth="1"/>
    <col min="4608" max="4608" width="9.109375" style="1"/>
    <col min="4609" max="4609" width="9.44140625" style="1" customWidth="1"/>
    <col min="4610" max="4612" width="14.44140625" style="1" bestFit="1" customWidth="1"/>
    <col min="4613" max="4613" width="10.6640625" style="1" bestFit="1" customWidth="1"/>
    <col min="4614" max="4614" width="12.44140625" style="1" bestFit="1" customWidth="1"/>
    <col min="4615" max="4857" width="9.109375" style="1"/>
    <col min="4858" max="4858" width="13.44140625" style="1" customWidth="1"/>
    <col min="4859" max="4859" width="71.6640625" style="1" customWidth="1"/>
    <col min="4860" max="4860" width="8" style="1" customWidth="1"/>
    <col min="4861" max="4861" width="10.44140625" style="1" customWidth="1"/>
    <col min="4862" max="4862" width="17.109375" style="1" customWidth="1"/>
    <col min="4863" max="4863" width="22" style="1" customWidth="1"/>
    <col min="4864" max="4864" width="9.109375" style="1"/>
    <col min="4865" max="4865" width="9.44140625" style="1" customWidth="1"/>
    <col min="4866" max="4868" width="14.44140625" style="1" bestFit="1" customWidth="1"/>
    <col min="4869" max="4869" width="10.6640625" style="1" bestFit="1" customWidth="1"/>
    <col min="4870" max="4870" width="12.44140625" style="1" bestFit="1" customWidth="1"/>
    <col min="4871" max="5113" width="9.109375" style="1"/>
    <col min="5114" max="5114" width="13.44140625" style="1" customWidth="1"/>
    <col min="5115" max="5115" width="71.6640625" style="1" customWidth="1"/>
    <col min="5116" max="5116" width="8" style="1" customWidth="1"/>
    <col min="5117" max="5117" width="10.44140625" style="1" customWidth="1"/>
    <col min="5118" max="5118" width="17.109375" style="1" customWidth="1"/>
    <col min="5119" max="5119" width="22" style="1" customWidth="1"/>
    <col min="5120" max="5120" width="9.109375" style="1"/>
    <col min="5121" max="5121" width="9.44140625" style="1" customWidth="1"/>
    <col min="5122" max="5124" width="14.44140625" style="1" bestFit="1" customWidth="1"/>
    <col min="5125" max="5125" width="10.6640625" style="1" bestFit="1" customWidth="1"/>
    <col min="5126" max="5126" width="12.44140625" style="1" bestFit="1" customWidth="1"/>
    <col min="5127" max="5369" width="9.109375" style="1"/>
    <col min="5370" max="5370" width="13.44140625" style="1" customWidth="1"/>
    <col min="5371" max="5371" width="71.6640625" style="1" customWidth="1"/>
    <col min="5372" max="5372" width="8" style="1" customWidth="1"/>
    <col min="5373" max="5373" width="10.44140625" style="1" customWidth="1"/>
    <col min="5374" max="5374" width="17.109375" style="1" customWidth="1"/>
    <col min="5375" max="5375" width="22" style="1" customWidth="1"/>
    <col min="5376" max="5376" width="9.109375" style="1"/>
    <col min="5377" max="5377" width="9.44140625" style="1" customWidth="1"/>
    <col min="5378" max="5380" width="14.44140625" style="1" bestFit="1" customWidth="1"/>
    <col min="5381" max="5381" width="10.6640625" style="1" bestFit="1" customWidth="1"/>
    <col min="5382" max="5382" width="12.44140625" style="1" bestFit="1" customWidth="1"/>
    <col min="5383" max="5625" width="9.109375" style="1"/>
    <col min="5626" max="5626" width="13.44140625" style="1" customWidth="1"/>
    <col min="5627" max="5627" width="71.6640625" style="1" customWidth="1"/>
    <col min="5628" max="5628" width="8" style="1" customWidth="1"/>
    <col min="5629" max="5629" width="10.44140625" style="1" customWidth="1"/>
    <col min="5630" max="5630" width="17.109375" style="1" customWidth="1"/>
    <col min="5631" max="5631" width="22" style="1" customWidth="1"/>
    <col min="5632" max="5632" width="9.109375" style="1"/>
    <col min="5633" max="5633" width="9.44140625" style="1" customWidth="1"/>
    <col min="5634" max="5636" width="14.44140625" style="1" bestFit="1" customWidth="1"/>
    <col min="5637" max="5637" width="10.6640625" style="1" bestFit="1" customWidth="1"/>
    <col min="5638" max="5638" width="12.44140625" style="1" bestFit="1" customWidth="1"/>
    <col min="5639" max="5881" width="9.109375" style="1"/>
    <col min="5882" max="5882" width="13.44140625" style="1" customWidth="1"/>
    <col min="5883" max="5883" width="71.6640625" style="1" customWidth="1"/>
    <col min="5884" max="5884" width="8" style="1" customWidth="1"/>
    <col min="5885" max="5885" width="10.44140625" style="1" customWidth="1"/>
    <col min="5886" max="5886" width="17.109375" style="1" customWidth="1"/>
    <col min="5887" max="5887" width="22" style="1" customWidth="1"/>
    <col min="5888" max="5888" width="9.109375" style="1"/>
    <col min="5889" max="5889" width="9.44140625" style="1" customWidth="1"/>
    <col min="5890" max="5892" width="14.44140625" style="1" bestFit="1" customWidth="1"/>
    <col min="5893" max="5893" width="10.6640625" style="1" bestFit="1" customWidth="1"/>
    <col min="5894" max="5894" width="12.44140625" style="1" bestFit="1" customWidth="1"/>
    <col min="5895" max="6137" width="9.109375" style="1"/>
    <col min="6138" max="6138" width="13.44140625" style="1" customWidth="1"/>
    <col min="6139" max="6139" width="71.6640625" style="1" customWidth="1"/>
    <col min="6140" max="6140" width="8" style="1" customWidth="1"/>
    <col min="6141" max="6141" width="10.44140625" style="1" customWidth="1"/>
    <col min="6142" max="6142" width="17.109375" style="1" customWidth="1"/>
    <col min="6143" max="6143" width="22" style="1" customWidth="1"/>
    <col min="6144" max="6144" width="9.109375" style="1"/>
    <col min="6145" max="6145" width="9.44140625" style="1" customWidth="1"/>
    <col min="6146" max="6148" width="14.44140625" style="1" bestFit="1" customWidth="1"/>
    <col min="6149" max="6149" width="10.6640625" style="1" bestFit="1" customWidth="1"/>
    <col min="6150" max="6150" width="12.44140625" style="1" bestFit="1" customWidth="1"/>
    <col min="6151" max="6393" width="9.109375" style="1"/>
    <col min="6394" max="6394" width="13.44140625" style="1" customWidth="1"/>
    <col min="6395" max="6395" width="71.6640625" style="1" customWidth="1"/>
    <col min="6396" max="6396" width="8" style="1" customWidth="1"/>
    <col min="6397" max="6397" width="10.44140625" style="1" customWidth="1"/>
    <col min="6398" max="6398" width="17.109375" style="1" customWidth="1"/>
    <col min="6399" max="6399" width="22" style="1" customWidth="1"/>
    <col min="6400" max="6400" width="9.109375" style="1"/>
    <col min="6401" max="6401" width="9.44140625" style="1" customWidth="1"/>
    <col min="6402" max="6404" width="14.44140625" style="1" bestFit="1" customWidth="1"/>
    <col min="6405" max="6405" width="10.6640625" style="1" bestFit="1" customWidth="1"/>
    <col min="6406" max="6406" width="12.44140625" style="1" bestFit="1" customWidth="1"/>
    <col min="6407" max="6649" width="9.109375" style="1"/>
    <col min="6650" max="6650" width="13.44140625" style="1" customWidth="1"/>
    <col min="6651" max="6651" width="71.6640625" style="1" customWidth="1"/>
    <col min="6652" max="6652" width="8" style="1" customWidth="1"/>
    <col min="6653" max="6653" width="10.44140625" style="1" customWidth="1"/>
    <col min="6654" max="6654" width="17.109375" style="1" customWidth="1"/>
    <col min="6655" max="6655" width="22" style="1" customWidth="1"/>
    <col min="6656" max="6656" width="9.109375" style="1"/>
    <col min="6657" max="6657" width="9.44140625" style="1" customWidth="1"/>
    <col min="6658" max="6660" width="14.44140625" style="1" bestFit="1" customWidth="1"/>
    <col min="6661" max="6661" width="10.6640625" style="1" bestFit="1" customWidth="1"/>
    <col min="6662" max="6662" width="12.44140625" style="1" bestFit="1" customWidth="1"/>
    <col min="6663" max="6905" width="9.109375" style="1"/>
    <col min="6906" max="6906" width="13.44140625" style="1" customWidth="1"/>
    <col min="6907" max="6907" width="71.6640625" style="1" customWidth="1"/>
    <col min="6908" max="6908" width="8" style="1" customWidth="1"/>
    <col min="6909" max="6909" width="10.44140625" style="1" customWidth="1"/>
    <col min="6910" max="6910" width="17.109375" style="1" customWidth="1"/>
    <col min="6911" max="6911" width="22" style="1" customWidth="1"/>
    <col min="6912" max="6912" width="9.109375" style="1"/>
    <col min="6913" max="6913" width="9.44140625" style="1" customWidth="1"/>
    <col min="6914" max="6916" width="14.44140625" style="1" bestFit="1" customWidth="1"/>
    <col min="6917" max="6917" width="10.6640625" style="1" bestFit="1" customWidth="1"/>
    <col min="6918" max="6918" width="12.44140625" style="1" bestFit="1" customWidth="1"/>
    <col min="6919" max="7161" width="9.109375" style="1"/>
    <col min="7162" max="7162" width="13.44140625" style="1" customWidth="1"/>
    <col min="7163" max="7163" width="71.6640625" style="1" customWidth="1"/>
    <col min="7164" max="7164" width="8" style="1" customWidth="1"/>
    <col min="7165" max="7165" width="10.44140625" style="1" customWidth="1"/>
    <col min="7166" max="7166" width="17.109375" style="1" customWidth="1"/>
    <col min="7167" max="7167" width="22" style="1" customWidth="1"/>
    <col min="7168" max="7168" width="9.109375" style="1"/>
    <col min="7169" max="7169" width="9.44140625" style="1" customWidth="1"/>
    <col min="7170" max="7172" width="14.44140625" style="1" bestFit="1" customWidth="1"/>
    <col min="7173" max="7173" width="10.6640625" style="1" bestFit="1" customWidth="1"/>
    <col min="7174" max="7174" width="12.44140625" style="1" bestFit="1" customWidth="1"/>
    <col min="7175" max="7417" width="9.109375" style="1"/>
    <col min="7418" max="7418" width="13.44140625" style="1" customWidth="1"/>
    <col min="7419" max="7419" width="71.6640625" style="1" customWidth="1"/>
    <col min="7420" max="7420" width="8" style="1" customWidth="1"/>
    <col min="7421" max="7421" width="10.44140625" style="1" customWidth="1"/>
    <col min="7422" max="7422" width="17.109375" style="1" customWidth="1"/>
    <col min="7423" max="7423" width="22" style="1" customWidth="1"/>
    <col min="7424" max="7424" width="9.109375" style="1"/>
    <col min="7425" max="7425" width="9.44140625" style="1" customWidth="1"/>
    <col min="7426" max="7428" width="14.44140625" style="1" bestFit="1" customWidth="1"/>
    <col min="7429" max="7429" width="10.6640625" style="1" bestFit="1" customWidth="1"/>
    <col min="7430" max="7430" width="12.44140625" style="1" bestFit="1" customWidth="1"/>
    <col min="7431" max="7673" width="9.109375" style="1"/>
    <col min="7674" max="7674" width="13.44140625" style="1" customWidth="1"/>
    <col min="7675" max="7675" width="71.6640625" style="1" customWidth="1"/>
    <col min="7676" max="7676" width="8" style="1" customWidth="1"/>
    <col min="7677" max="7677" width="10.44140625" style="1" customWidth="1"/>
    <col min="7678" max="7678" width="17.109375" style="1" customWidth="1"/>
    <col min="7679" max="7679" width="22" style="1" customWidth="1"/>
    <col min="7680" max="7680" width="9.109375" style="1"/>
    <col min="7681" max="7681" width="9.44140625" style="1" customWidth="1"/>
    <col min="7682" max="7684" width="14.44140625" style="1" bestFit="1" customWidth="1"/>
    <col min="7685" max="7685" width="10.6640625" style="1" bestFit="1" customWidth="1"/>
    <col min="7686" max="7686" width="12.44140625" style="1" bestFit="1" customWidth="1"/>
    <col min="7687" max="7929" width="9.109375" style="1"/>
    <col min="7930" max="7930" width="13.44140625" style="1" customWidth="1"/>
    <col min="7931" max="7931" width="71.6640625" style="1" customWidth="1"/>
    <col min="7932" max="7932" width="8" style="1" customWidth="1"/>
    <col min="7933" max="7933" width="10.44140625" style="1" customWidth="1"/>
    <col min="7934" max="7934" width="17.109375" style="1" customWidth="1"/>
    <col min="7935" max="7935" width="22" style="1" customWidth="1"/>
    <col min="7936" max="7936" width="9.109375" style="1"/>
    <col min="7937" max="7937" width="9.44140625" style="1" customWidth="1"/>
    <col min="7938" max="7940" width="14.44140625" style="1" bestFit="1" customWidth="1"/>
    <col min="7941" max="7941" width="10.6640625" style="1" bestFit="1" customWidth="1"/>
    <col min="7942" max="7942" width="12.44140625" style="1" bestFit="1" customWidth="1"/>
    <col min="7943" max="8185" width="9.109375" style="1"/>
    <col min="8186" max="8186" width="13.44140625" style="1" customWidth="1"/>
    <col min="8187" max="8187" width="71.6640625" style="1" customWidth="1"/>
    <col min="8188" max="8188" width="8" style="1" customWidth="1"/>
    <col min="8189" max="8189" width="10.44140625" style="1" customWidth="1"/>
    <col min="8190" max="8190" width="17.109375" style="1" customWidth="1"/>
    <col min="8191" max="8191" width="22" style="1" customWidth="1"/>
    <col min="8192" max="8192" width="9.109375" style="1"/>
    <col min="8193" max="8193" width="9.44140625" style="1" customWidth="1"/>
    <col min="8194" max="8196" width="14.44140625" style="1" bestFit="1" customWidth="1"/>
    <col min="8197" max="8197" width="10.6640625" style="1" bestFit="1" customWidth="1"/>
    <col min="8198" max="8198" width="12.44140625" style="1" bestFit="1" customWidth="1"/>
    <col min="8199" max="8441" width="9.109375" style="1"/>
    <col min="8442" max="8442" width="13.44140625" style="1" customWidth="1"/>
    <col min="8443" max="8443" width="71.6640625" style="1" customWidth="1"/>
    <col min="8444" max="8444" width="8" style="1" customWidth="1"/>
    <col min="8445" max="8445" width="10.44140625" style="1" customWidth="1"/>
    <col min="8446" max="8446" width="17.109375" style="1" customWidth="1"/>
    <col min="8447" max="8447" width="22" style="1" customWidth="1"/>
    <col min="8448" max="8448" width="9.109375" style="1"/>
    <col min="8449" max="8449" width="9.44140625" style="1" customWidth="1"/>
    <col min="8450" max="8452" width="14.44140625" style="1" bestFit="1" customWidth="1"/>
    <col min="8453" max="8453" width="10.6640625" style="1" bestFit="1" customWidth="1"/>
    <col min="8454" max="8454" width="12.44140625" style="1" bestFit="1" customWidth="1"/>
    <col min="8455" max="8697" width="9.109375" style="1"/>
    <col min="8698" max="8698" width="13.44140625" style="1" customWidth="1"/>
    <col min="8699" max="8699" width="71.6640625" style="1" customWidth="1"/>
    <col min="8700" max="8700" width="8" style="1" customWidth="1"/>
    <col min="8701" max="8701" width="10.44140625" style="1" customWidth="1"/>
    <col min="8702" max="8702" width="17.109375" style="1" customWidth="1"/>
    <col min="8703" max="8703" width="22" style="1" customWidth="1"/>
    <col min="8704" max="8704" width="9.109375" style="1"/>
    <col min="8705" max="8705" width="9.44140625" style="1" customWidth="1"/>
    <col min="8706" max="8708" width="14.44140625" style="1" bestFit="1" customWidth="1"/>
    <col min="8709" max="8709" width="10.6640625" style="1" bestFit="1" customWidth="1"/>
    <col min="8710" max="8710" width="12.44140625" style="1" bestFit="1" customWidth="1"/>
    <col min="8711" max="8953" width="9.109375" style="1"/>
    <col min="8954" max="8954" width="13.44140625" style="1" customWidth="1"/>
    <col min="8955" max="8955" width="71.6640625" style="1" customWidth="1"/>
    <col min="8956" max="8956" width="8" style="1" customWidth="1"/>
    <col min="8957" max="8957" width="10.44140625" style="1" customWidth="1"/>
    <col min="8958" max="8958" width="17.109375" style="1" customWidth="1"/>
    <col min="8959" max="8959" width="22" style="1" customWidth="1"/>
    <col min="8960" max="8960" width="9.109375" style="1"/>
    <col min="8961" max="8961" width="9.44140625" style="1" customWidth="1"/>
    <col min="8962" max="8964" width="14.44140625" style="1" bestFit="1" customWidth="1"/>
    <col min="8965" max="8965" width="10.6640625" style="1" bestFit="1" customWidth="1"/>
    <col min="8966" max="8966" width="12.44140625" style="1" bestFit="1" customWidth="1"/>
    <col min="8967" max="9209" width="9.109375" style="1"/>
    <col min="9210" max="9210" width="13.44140625" style="1" customWidth="1"/>
    <col min="9211" max="9211" width="71.6640625" style="1" customWidth="1"/>
    <col min="9212" max="9212" width="8" style="1" customWidth="1"/>
    <col min="9213" max="9213" width="10.44140625" style="1" customWidth="1"/>
    <col min="9214" max="9214" width="17.109375" style="1" customWidth="1"/>
    <col min="9215" max="9215" width="22" style="1" customWidth="1"/>
    <col min="9216" max="9216" width="9.109375" style="1"/>
    <col min="9217" max="9217" width="9.44140625" style="1" customWidth="1"/>
    <col min="9218" max="9220" width="14.44140625" style="1" bestFit="1" customWidth="1"/>
    <col min="9221" max="9221" width="10.6640625" style="1" bestFit="1" customWidth="1"/>
    <col min="9222" max="9222" width="12.44140625" style="1" bestFit="1" customWidth="1"/>
    <col min="9223" max="9465" width="9.109375" style="1"/>
    <col min="9466" max="9466" width="13.44140625" style="1" customWidth="1"/>
    <col min="9467" max="9467" width="71.6640625" style="1" customWidth="1"/>
    <col min="9468" max="9468" width="8" style="1" customWidth="1"/>
    <col min="9469" max="9469" width="10.44140625" style="1" customWidth="1"/>
    <col min="9470" max="9470" width="17.109375" style="1" customWidth="1"/>
    <col min="9471" max="9471" width="22" style="1" customWidth="1"/>
    <col min="9472" max="9472" width="9.109375" style="1"/>
    <col min="9473" max="9473" width="9.44140625" style="1" customWidth="1"/>
    <col min="9474" max="9476" width="14.44140625" style="1" bestFit="1" customWidth="1"/>
    <col min="9477" max="9477" width="10.6640625" style="1" bestFit="1" customWidth="1"/>
    <col min="9478" max="9478" width="12.44140625" style="1" bestFit="1" customWidth="1"/>
    <col min="9479" max="9721" width="9.109375" style="1"/>
    <col min="9722" max="9722" width="13.44140625" style="1" customWidth="1"/>
    <col min="9723" max="9723" width="71.6640625" style="1" customWidth="1"/>
    <col min="9724" max="9724" width="8" style="1" customWidth="1"/>
    <col min="9725" max="9725" width="10.44140625" style="1" customWidth="1"/>
    <col min="9726" max="9726" width="17.109375" style="1" customWidth="1"/>
    <col min="9727" max="9727" width="22" style="1" customWidth="1"/>
    <col min="9728" max="9728" width="9.109375" style="1"/>
    <col min="9729" max="9729" width="9.44140625" style="1" customWidth="1"/>
    <col min="9730" max="9732" width="14.44140625" style="1" bestFit="1" customWidth="1"/>
    <col min="9733" max="9733" width="10.6640625" style="1" bestFit="1" customWidth="1"/>
    <col min="9734" max="9734" width="12.44140625" style="1" bestFit="1" customWidth="1"/>
    <col min="9735" max="9977" width="9.109375" style="1"/>
    <col min="9978" max="9978" width="13.44140625" style="1" customWidth="1"/>
    <col min="9979" max="9979" width="71.6640625" style="1" customWidth="1"/>
    <col min="9980" max="9980" width="8" style="1" customWidth="1"/>
    <col min="9981" max="9981" width="10.44140625" style="1" customWidth="1"/>
    <col min="9982" max="9982" width="17.109375" style="1" customWidth="1"/>
    <col min="9983" max="9983" width="22" style="1" customWidth="1"/>
    <col min="9984" max="9984" width="9.109375" style="1"/>
    <col min="9985" max="9985" width="9.44140625" style="1" customWidth="1"/>
    <col min="9986" max="9988" width="14.44140625" style="1" bestFit="1" customWidth="1"/>
    <col min="9989" max="9989" width="10.6640625" style="1" bestFit="1" customWidth="1"/>
    <col min="9990" max="9990" width="12.44140625" style="1" bestFit="1" customWidth="1"/>
    <col min="9991" max="10233" width="9.109375" style="1"/>
    <col min="10234" max="10234" width="13.44140625" style="1" customWidth="1"/>
    <col min="10235" max="10235" width="71.6640625" style="1" customWidth="1"/>
    <col min="10236" max="10236" width="8" style="1" customWidth="1"/>
    <col min="10237" max="10237" width="10.44140625" style="1" customWidth="1"/>
    <col min="10238" max="10238" width="17.109375" style="1" customWidth="1"/>
    <col min="10239" max="10239" width="22" style="1" customWidth="1"/>
    <col min="10240" max="10240" width="9.109375" style="1"/>
    <col min="10241" max="10241" width="9.44140625" style="1" customWidth="1"/>
    <col min="10242" max="10244" width="14.44140625" style="1" bestFit="1" customWidth="1"/>
    <col min="10245" max="10245" width="10.6640625" style="1" bestFit="1" customWidth="1"/>
    <col min="10246" max="10246" width="12.44140625" style="1" bestFit="1" customWidth="1"/>
    <col min="10247" max="10489" width="9.109375" style="1"/>
    <col min="10490" max="10490" width="13.44140625" style="1" customWidth="1"/>
    <col min="10491" max="10491" width="71.6640625" style="1" customWidth="1"/>
    <col min="10492" max="10492" width="8" style="1" customWidth="1"/>
    <col min="10493" max="10493" width="10.44140625" style="1" customWidth="1"/>
    <col min="10494" max="10494" width="17.109375" style="1" customWidth="1"/>
    <col min="10495" max="10495" width="22" style="1" customWidth="1"/>
    <col min="10496" max="10496" width="9.109375" style="1"/>
    <col min="10497" max="10497" width="9.44140625" style="1" customWidth="1"/>
    <col min="10498" max="10500" width="14.44140625" style="1" bestFit="1" customWidth="1"/>
    <col min="10501" max="10501" width="10.6640625" style="1" bestFit="1" customWidth="1"/>
    <col min="10502" max="10502" width="12.44140625" style="1" bestFit="1" customWidth="1"/>
    <col min="10503" max="10745" width="9.109375" style="1"/>
    <col min="10746" max="10746" width="13.44140625" style="1" customWidth="1"/>
    <col min="10747" max="10747" width="71.6640625" style="1" customWidth="1"/>
    <col min="10748" max="10748" width="8" style="1" customWidth="1"/>
    <col min="10749" max="10749" width="10.44140625" style="1" customWidth="1"/>
    <col min="10750" max="10750" width="17.109375" style="1" customWidth="1"/>
    <col min="10751" max="10751" width="22" style="1" customWidth="1"/>
    <col min="10752" max="10752" width="9.109375" style="1"/>
    <col min="10753" max="10753" width="9.44140625" style="1" customWidth="1"/>
    <col min="10754" max="10756" width="14.44140625" style="1" bestFit="1" customWidth="1"/>
    <col min="10757" max="10757" width="10.6640625" style="1" bestFit="1" customWidth="1"/>
    <col min="10758" max="10758" width="12.44140625" style="1" bestFit="1" customWidth="1"/>
    <col min="10759" max="11001" width="9.109375" style="1"/>
    <col min="11002" max="11002" width="13.44140625" style="1" customWidth="1"/>
    <col min="11003" max="11003" width="71.6640625" style="1" customWidth="1"/>
    <col min="11004" max="11004" width="8" style="1" customWidth="1"/>
    <col min="11005" max="11005" width="10.44140625" style="1" customWidth="1"/>
    <col min="11006" max="11006" width="17.109375" style="1" customWidth="1"/>
    <col min="11007" max="11007" width="22" style="1" customWidth="1"/>
    <col min="11008" max="11008" width="9.109375" style="1"/>
    <col min="11009" max="11009" width="9.44140625" style="1" customWidth="1"/>
    <col min="11010" max="11012" width="14.44140625" style="1" bestFit="1" customWidth="1"/>
    <col min="11013" max="11013" width="10.6640625" style="1" bestFit="1" customWidth="1"/>
    <col min="11014" max="11014" width="12.44140625" style="1" bestFit="1" customWidth="1"/>
    <col min="11015" max="11257" width="9.109375" style="1"/>
    <col min="11258" max="11258" width="13.44140625" style="1" customWidth="1"/>
    <col min="11259" max="11259" width="71.6640625" style="1" customWidth="1"/>
    <col min="11260" max="11260" width="8" style="1" customWidth="1"/>
    <col min="11261" max="11261" width="10.44140625" style="1" customWidth="1"/>
    <col min="11262" max="11262" width="17.109375" style="1" customWidth="1"/>
    <col min="11263" max="11263" width="22" style="1" customWidth="1"/>
    <col min="11264" max="11264" width="9.109375" style="1"/>
    <col min="11265" max="11265" width="9.44140625" style="1" customWidth="1"/>
    <col min="11266" max="11268" width="14.44140625" style="1" bestFit="1" customWidth="1"/>
    <col min="11269" max="11269" width="10.6640625" style="1" bestFit="1" customWidth="1"/>
    <col min="11270" max="11270" width="12.44140625" style="1" bestFit="1" customWidth="1"/>
    <col min="11271" max="11513" width="9.109375" style="1"/>
    <col min="11514" max="11514" width="13.44140625" style="1" customWidth="1"/>
    <col min="11515" max="11515" width="71.6640625" style="1" customWidth="1"/>
    <col min="11516" max="11516" width="8" style="1" customWidth="1"/>
    <col min="11517" max="11517" width="10.44140625" style="1" customWidth="1"/>
    <col min="11518" max="11518" width="17.109375" style="1" customWidth="1"/>
    <col min="11519" max="11519" width="22" style="1" customWidth="1"/>
    <col min="11520" max="11520" width="9.109375" style="1"/>
    <col min="11521" max="11521" width="9.44140625" style="1" customWidth="1"/>
    <col min="11522" max="11524" width="14.44140625" style="1" bestFit="1" customWidth="1"/>
    <col min="11525" max="11525" width="10.6640625" style="1" bestFit="1" customWidth="1"/>
    <col min="11526" max="11526" width="12.44140625" style="1" bestFit="1" customWidth="1"/>
    <col min="11527" max="11769" width="9.109375" style="1"/>
    <col min="11770" max="11770" width="13.44140625" style="1" customWidth="1"/>
    <col min="11771" max="11771" width="71.6640625" style="1" customWidth="1"/>
    <col min="11772" max="11772" width="8" style="1" customWidth="1"/>
    <col min="11773" max="11773" width="10.44140625" style="1" customWidth="1"/>
    <col min="11774" max="11774" width="17.109375" style="1" customWidth="1"/>
    <col min="11775" max="11775" width="22" style="1" customWidth="1"/>
    <col min="11776" max="11776" width="9.109375" style="1"/>
    <col min="11777" max="11777" width="9.44140625" style="1" customWidth="1"/>
    <col min="11778" max="11780" width="14.44140625" style="1" bestFit="1" customWidth="1"/>
    <col min="11781" max="11781" width="10.6640625" style="1" bestFit="1" customWidth="1"/>
    <col min="11782" max="11782" width="12.44140625" style="1" bestFit="1" customWidth="1"/>
    <col min="11783" max="12025" width="9.109375" style="1"/>
    <col min="12026" max="12026" width="13.44140625" style="1" customWidth="1"/>
    <col min="12027" max="12027" width="71.6640625" style="1" customWidth="1"/>
    <col min="12028" max="12028" width="8" style="1" customWidth="1"/>
    <col min="12029" max="12029" width="10.44140625" style="1" customWidth="1"/>
    <col min="12030" max="12030" width="17.109375" style="1" customWidth="1"/>
    <col min="12031" max="12031" width="22" style="1" customWidth="1"/>
    <col min="12032" max="12032" width="9.109375" style="1"/>
    <col min="12033" max="12033" width="9.44140625" style="1" customWidth="1"/>
    <col min="12034" max="12036" width="14.44140625" style="1" bestFit="1" customWidth="1"/>
    <col min="12037" max="12037" width="10.6640625" style="1" bestFit="1" customWidth="1"/>
    <col min="12038" max="12038" width="12.44140625" style="1" bestFit="1" customWidth="1"/>
    <col min="12039" max="12281" width="9.109375" style="1"/>
    <col min="12282" max="12282" width="13.44140625" style="1" customWidth="1"/>
    <col min="12283" max="12283" width="71.6640625" style="1" customWidth="1"/>
    <col min="12284" max="12284" width="8" style="1" customWidth="1"/>
    <col min="12285" max="12285" width="10.44140625" style="1" customWidth="1"/>
    <col min="12286" max="12286" width="17.109375" style="1" customWidth="1"/>
    <col min="12287" max="12287" width="22" style="1" customWidth="1"/>
    <col min="12288" max="12288" width="9.109375" style="1"/>
    <col min="12289" max="12289" width="9.44140625" style="1" customWidth="1"/>
    <col min="12290" max="12292" width="14.44140625" style="1" bestFit="1" customWidth="1"/>
    <col min="12293" max="12293" width="10.6640625" style="1" bestFit="1" customWidth="1"/>
    <col min="12294" max="12294" width="12.44140625" style="1" bestFit="1" customWidth="1"/>
    <col min="12295" max="12537" width="9.109375" style="1"/>
    <col min="12538" max="12538" width="13.44140625" style="1" customWidth="1"/>
    <col min="12539" max="12539" width="71.6640625" style="1" customWidth="1"/>
    <col min="12540" max="12540" width="8" style="1" customWidth="1"/>
    <col min="12541" max="12541" width="10.44140625" style="1" customWidth="1"/>
    <col min="12542" max="12542" width="17.109375" style="1" customWidth="1"/>
    <col min="12543" max="12543" width="22" style="1" customWidth="1"/>
    <col min="12544" max="12544" width="9.109375" style="1"/>
    <col min="12545" max="12545" width="9.44140625" style="1" customWidth="1"/>
    <col min="12546" max="12548" width="14.44140625" style="1" bestFit="1" customWidth="1"/>
    <col min="12549" max="12549" width="10.6640625" style="1" bestFit="1" customWidth="1"/>
    <col min="12550" max="12550" width="12.44140625" style="1" bestFit="1" customWidth="1"/>
    <col min="12551" max="12793" width="9.109375" style="1"/>
    <col min="12794" max="12794" width="13.44140625" style="1" customWidth="1"/>
    <col min="12795" max="12795" width="71.6640625" style="1" customWidth="1"/>
    <col min="12796" max="12796" width="8" style="1" customWidth="1"/>
    <col min="12797" max="12797" width="10.44140625" style="1" customWidth="1"/>
    <col min="12798" max="12798" width="17.109375" style="1" customWidth="1"/>
    <col min="12799" max="12799" width="22" style="1" customWidth="1"/>
    <col min="12800" max="12800" width="9.109375" style="1"/>
    <col min="12801" max="12801" width="9.44140625" style="1" customWidth="1"/>
    <col min="12802" max="12804" width="14.44140625" style="1" bestFit="1" customWidth="1"/>
    <col min="12805" max="12805" width="10.6640625" style="1" bestFit="1" customWidth="1"/>
    <col min="12806" max="12806" width="12.44140625" style="1" bestFit="1" customWidth="1"/>
    <col min="12807" max="13049" width="9.109375" style="1"/>
    <col min="13050" max="13050" width="13.44140625" style="1" customWidth="1"/>
    <col min="13051" max="13051" width="71.6640625" style="1" customWidth="1"/>
    <col min="13052" max="13052" width="8" style="1" customWidth="1"/>
    <col min="13053" max="13053" width="10.44140625" style="1" customWidth="1"/>
    <col min="13054" max="13054" width="17.109375" style="1" customWidth="1"/>
    <col min="13055" max="13055" width="22" style="1" customWidth="1"/>
    <col min="13056" max="13056" width="9.109375" style="1"/>
    <col min="13057" max="13057" width="9.44140625" style="1" customWidth="1"/>
    <col min="13058" max="13060" width="14.44140625" style="1" bestFit="1" customWidth="1"/>
    <col min="13061" max="13061" width="10.6640625" style="1" bestFit="1" customWidth="1"/>
    <col min="13062" max="13062" width="12.44140625" style="1" bestFit="1" customWidth="1"/>
    <col min="13063" max="13305" width="9.109375" style="1"/>
    <col min="13306" max="13306" width="13.44140625" style="1" customWidth="1"/>
    <col min="13307" max="13307" width="71.6640625" style="1" customWidth="1"/>
    <col min="13308" max="13308" width="8" style="1" customWidth="1"/>
    <col min="13309" max="13309" width="10.44140625" style="1" customWidth="1"/>
    <col min="13310" max="13310" width="17.109375" style="1" customWidth="1"/>
    <col min="13311" max="13311" width="22" style="1" customWidth="1"/>
    <col min="13312" max="13312" width="9.109375" style="1"/>
    <col min="13313" max="13313" width="9.44140625" style="1" customWidth="1"/>
    <col min="13314" max="13316" width="14.44140625" style="1" bestFit="1" customWidth="1"/>
    <col min="13317" max="13317" width="10.6640625" style="1" bestFit="1" customWidth="1"/>
    <col min="13318" max="13318" width="12.44140625" style="1" bestFit="1" customWidth="1"/>
    <col min="13319" max="13561" width="9.109375" style="1"/>
    <col min="13562" max="13562" width="13.44140625" style="1" customWidth="1"/>
    <col min="13563" max="13563" width="71.6640625" style="1" customWidth="1"/>
    <col min="13564" max="13564" width="8" style="1" customWidth="1"/>
    <col min="13565" max="13565" width="10.44140625" style="1" customWidth="1"/>
    <col min="13566" max="13566" width="17.109375" style="1" customWidth="1"/>
    <col min="13567" max="13567" width="22" style="1" customWidth="1"/>
    <col min="13568" max="13568" width="9.109375" style="1"/>
    <col min="13569" max="13569" width="9.44140625" style="1" customWidth="1"/>
    <col min="13570" max="13572" width="14.44140625" style="1" bestFit="1" customWidth="1"/>
    <col min="13573" max="13573" width="10.6640625" style="1" bestFit="1" customWidth="1"/>
    <col min="13574" max="13574" width="12.44140625" style="1" bestFit="1" customWidth="1"/>
    <col min="13575" max="13817" width="9.109375" style="1"/>
    <col min="13818" max="13818" width="13.44140625" style="1" customWidth="1"/>
    <col min="13819" max="13819" width="71.6640625" style="1" customWidth="1"/>
    <col min="13820" max="13820" width="8" style="1" customWidth="1"/>
    <col min="13821" max="13821" width="10.44140625" style="1" customWidth="1"/>
    <col min="13822" max="13822" width="17.109375" style="1" customWidth="1"/>
    <col min="13823" max="13823" width="22" style="1" customWidth="1"/>
    <col min="13824" max="13824" width="9.109375" style="1"/>
    <col min="13825" max="13825" width="9.44140625" style="1" customWidth="1"/>
    <col min="13826" max="13828" width="14.44140625" style="1" bestFit="1" customWidth="1"/>
    <col min="13829" max="13829" width="10.6640625" style="1" bestFit="1" customWidth="1"/>
    <col min="13830" max="13830" width="12.44140625" style="1" bestFit="1" customWidth="1"/>
    <col min="13831" max="14073" width="9.109375" style="1"/>
    <col min="14074" max="14074" width="13.44140625" style="1" customWidth="1"/>
    <col min="14075" max="14075" width="71.6640625" style="1" customWidth="1"/>
    <col min="14076" max="14076" width="8" style="1" customWidth="1"/>
    <col min="14077" max="14077" width="10.44140625" style="1" customWidth="1"/>
    <col min="14078" max="14078" width="17.109375" style="1" customWidth="1"/>
    <col min="14079" max="14079" width="22" style="1" customWidth="1"/>
    <col min="14080" max="14080" width="9.109375" style="1"/>
    <col min="14081" max="14081" width="9.44140625" style="1" customWidth="1"/>
    <col min="14082" max="14084" width="14.44140625" style="1" bestFit="1" customWidth="1"/>
    <col min="14085" max="14085" width="10.6640625" style="1" bestFit="1" customWidth="1"/>
    <col min="14086" max="14086" width="12.44140625" style="1" bestFit="1" customWidth="1"/>
    <col min="14087" max="14329" width="9.109375" style="1"/>
    <col min="14330" max="14330" width="13.44140625" style="1" customWidth="1"/>
    <col min="14331" max="14331" width="71.6640625" style="1" customWidth="1"/>
    <col min="14332" max="14332" width="8" style="1" customWidth="1"/>
    <col min="14333" max="14333" width="10.44140625" style="1" customWidth="1"/>
    <col min="14334" max="14334" width="17.109375" style="1" customWidth="1"/>
    <col min="14335" max="14335" width="22" style="1" customWidth="1"/>
    <col min="14336" max="14336" width="9.109375" style="1"/>
    <col min="14337" max="14337" width="9.44140625" style="1" customWidth="1"/>
    <col min="14338" max="14340" width="14.44140625" style="1" bestFit="1" customWidth="1"/>
    <col min="14341" max="14341" width="10.6640625" style="1" bestFit="1" customWidth="1"/>
    <col min="14342" max="14342" width="12.44140625" style="1" bestFit="1" customWidth="1"/>
    <col min="14343" max="14585" width="9.109375" style="1"/>
    <col min="14586" max="14586" width="13.44140625" style="1" customWidth="1"/>
    <col min="14587" max="14587" width="71.6640625" style="1" customWidth="1"/>
    <col min="14588" max="14588" width="8" style="1" customWidth="1"/>
    <col min="14589" max="14589" width="10.44140625" style="1" customWidth="1"/>
    <col min="14590" max="14590" width="17.109375" style="1" customWidth="1"/>
    <col min="14591" max="14591" width="22" style="1" customWidth="1"/>
    <col min="14592" max="14592" width="9.109375" style="1"/>
    <col min="14593" max="14593" width="9.44140625" style="1" customWidth="1"/>
    <col min="14594" max="14596" width="14.44140625" style="1" bestFit="1" customWidth="1"/>
    <col min="14597" max="14597" width="10.6640625" style="1" bestFit="1" customWidth="1"/>
    <col min="14598" max="14598" width="12.44140625" style="1" bestFit="1" customWidth="1"/>
    <col min="14599" max="14841" width="9.109375" style="1"/>
    <col min="14842" max="14842" width="13.44140625" style="1" customWidth="1"/>
    <col min="14843" max="14843" width="71.6640625" style="1" customWidth="1"/>
    <col min="14844" max="14844" width="8" style="1" customWidth="1"/>
    <col min="14845" max="14845" width="10.44140625" style="1" customWidth="1"/>
    <col min="14846" max="14846" width="17.109375" style="1" customWidth="1"/>
    <col min="14847" max="14847" width="22" style="1" customWidth="1"/>
    <col min="14848" max="14848" width="9.109375" style="1"/>
    <col min="14849" max="14849" width="9.44140625" style="1" customWidth="1"/>
    <col min="14850" max="14852" width="14.44140625" style="1" bestFit="1" customWidth="1"/>
    <col min="14853" max="14853" width="10.6640625" style="1" bestFit="1" customWidth="1"/>
    <col min="14854" max="14854" width="12.44140625" style="1" bestFit="1" customWidth="1"/>
    <col min="14855" max="15097" width="9.109375" style="1"/>
    <col min="15098" max="15098" width="13.44140625" style="1" customWidth="1"/>
    <col min="15099" max="15099" width="71.6640625" style="1" customWidth="1"/>
    <col min="15100" max="15100" width="8" style="1" customWidth="1"/>
    <col min="15101" max="15101" width="10.44140625" style="1" customWidth="1"/>
    <col min="15102" max="15102" width="17.109375" style="1" customWidth="1"/>
    <col min="15103" max="15103" width="22" style="1" customWidth="1"/>
    <col min="15104" max="15104" width="9.109375" style="1"/>
    <col min="15105" max="15105" width="9.44140625" style="1" customWidth="1"/>
    <col min="15106" max="15108" width="14.44140625" style="1" bestFit="1" customWidth="1"/>
    <col min="15109" max="15109" width="10.6640625" style="1" bestFit="1" customWidth="1"/>
    <col min="15110" max="15110" width="12.44140625" style="1" bestFit="1" customWidth="1"/>
    <col min="15111" max="15353" width="9.109375" style="1"/>
    <col min="15354" max="15354" width="13.44140625" style="1" customWidth="1"/>
    <col min="15355" max="15355" width="71.6640625" style="1" customWidth="1"/>
    <col min="15356" max="15356" width="8" style="1" customWidth="1"/>
    <col min="15357" max="15357" width="10.44140625" style="1" customWidth="1"/>
    <col min="15358" max="15358" width="17.109375" style="1" customWidth="1"/>
    <col min="15359" max="15359" width="22" style="1" customWidth="1"/>
    <col min="15360" max="15360" width="9.109375" style="1"/>
    <col min="15361" max="15361" width="9.44140625" style="1" customWidth="1"/>
    <col min="15362" max="15364" width="14.44140625" style="1" bestFit="1" customWidth="1"/>
    <col min="15365" max="15365" width="10.6640625" style="1" bestFit="1" customWidth="1"/>
    <col min="15366" max="15366" width="12.44140625" style="1" bestFit="1" customWidth="1"/>
    <col min="15367" max="15609" width="9.109375" style="1"/>
    <col min="15610" max="15610" width="13.44140625" style="1" customWidth="1"/>
    <col min="15611" max="15611" width="71.6640625" style="1" customWidth="1"/>
    <col min="15612" max="15612" width="8" style="1" customWidth="1"/>
    <col min="15613" max="15613" width="10.44140625" style="1" customWidth="1"/>
    <col min="15614" max="15614" width="17.109375" style="1" customWidth="1"/>
    <col min="15615" max="15615" width="22" style="1" customWidth="1"/>
    <col min="15616" max="15616" width="9.109375" style="1"/>
    <col min="15617" max="15617" width="9.44140625" style="1" customWidth="1"/>
    <col min="15618" max="15620" width="14.44140625" style="1" bestFit="1" customWidth="1"/>
    <col min="15621" max="15621" width="10.6640625" style="1" bestFit="1" customWidth="1"/>
    <col min="15622" max="15622" width="12.44140625" style="1" bestFit="1" customWidth="1"/>
    <col min="15623" max="15865" width="9.109375" style="1"/>
    <col min="15866" max="15866" width="13.44140625" style="1" customWidth="1"/>
    <col min="15867" max="15867" width="71.6640625" style="1" customWidth="1"/>
    <col min="15868" max="15868" width="8" style="1" customWidth="1"/>
    <col min="15869" max="15869" width="10.44140625" style="1" customWidth="1"/>
    <col min="15870" max="15870" width="17.109375" style="1" customWidth="1"/>
    <col min="15871" max="15871" width="22" style="1" customWidth="1"/>
    <col min="15872" max="15872" width="9.109375" style="1"/>
    <col min="15873" max="15873" width="9.44140625" style="1" customWidth="1"/>
    <col min="15874" max="15876" width="14.44140625" style="1" bestFit="1" customWidth="1"/>
    <col min="15877" max="15877" width="10.6640625" style="1" bestFit="1" customWidth="1"/>
    <col min="15878" max="15878" width="12.44140625" style="1" bestFit="1" customWidth="1"/>
    <col min="15879" max="16121" width="9.109375" style="1"/>
    <col min="16122" max="16122" width="13.44140625" style="1" customWidth="1"/>
    <col min="16123" max="16123" width="71.6640625" style="1" customWidth="1"/>
    <col min="16124" max="16124" width="8" style="1" customWidth="1"/>
    <col min="16125" max="16125" width="10.44140625" style="1" customWidth="1"/>
    <col min="16126" max="16126" width="17.109375" style="1" customWidth="1"/>
    <col min="16127" max="16127" width="22" style="1" customWidth="1"/>
    <col min="16128" max="16128" width="9.109375" style="1"/>
    <col min="16129" max="16129" width="9.44140625" style="1" customWidth="1"/>
    <col min="16130" max="16132" width="14.44140625" style="1" bestFit="1" customWidth="1"/>
    <col min="16133" max="16133" width="10.6640625" style="1" bestFit="1" customWidth="1"/>
    <col min="16134" max="16134" width="12.44140625" style="1" bestFit="1" customWidth="1"/>
    <col min="16135" max="16384" width="9.109375" style="1"/>
  </cols>
  <sheetData>
    <row r="1" spans="1:6">
      <c r="A1" s="174"/>
      <c r="B1" s="174"/>
      <c r="C1" s="174"/>
    </row>
    <row r="2" spans="1:6">
      <c r="A2" s="175"/>
      <c r="B2" s="175"/>
      <c r="C2" s="175"/>
    </row>
    <row r="3" spans="1:6">
      <c r="B3" s="1"/>
    </row>
    <row r="4" spans="1:6">
      <c r="A4" s="174" t="s">
        <v>6</v>
      </c>
      <c r="B4" s="174"/>
      <c r="C4" s="174"/>
    </row>
    <row r="5" spans="1:6" ht="23.4" thickBot="1">
      <c r="A5" s="173"/>
      <c r="B5" s="173"/>
      <c r="C5" s="173"/>
    </row>
    <row r="6" spans="1:6" ht="23.4" thickTop="1">
      <c r="A6" s="2" t="s">
        <v>160</v>
      </c>
      <c r="B6" s="3" t="s">
        <v>7</v>
      </c>
      <c r="C6" s="4">
        <f>BOQ!F7</f>
        <v>0</v>
      </c>
    </row>
    <row r="7" spans="1:6">
      <c r="A7" s="2" t="s">
        <v>161</v>
      </c>
      <c r="B7" s="3" t="s">
        <v>7</v>
      </c>
      <c r="C7" s="4">
        <f>BOQ!F37</f>
        <v>0</v>
      </c>
    </row>
    <row r="8" spans="1:6">
      <c r="A8" s="2" t="s">
        <v>162</v>
      </c>
      <c r="B8" s="3" t="s">
        <v>7</v>
      </c>
      <c r="C8" s="4">
        <f>BOQ!F59</f>
        <v>0</v>
      </c>
    </row>
    <row r="9" spans="1:6">
      <c r="A9" s="2" t="s">
        <v>163</v>
      </c>
      <c r="B9" s="3" t="s">
        <v>7</v>
      </c>
      <c r="C9" s="4">
        <f>BOQ!F114</f>
        <v>0</v>
      </c>
    </row>
    <row r="10" spans="1:6">
      <c r="A10" s="2" t="s">
        <v>164</v>
      </c>
      <c r="B10" s="3" t="s">
        <v>7</v>
      </c>
      <c r="C10" s="4">
        <f>BOQ!F119</f>
        <v>0</v>
      </c>
    </row>
    <row r="11" spans="1:6">
      <c r="A11" s="2" t="s">
        <v>165</v>
      </c>
      <c r="B11" s="3" t="s">
        <v>7</v>
      </c>
      <c r="C11" s="4">
        <f>BOQ!F173</f>
        <v>0</v>
      </c>
    </row>
    <row r="12" spans="1:6">
      <c r="A12" s="2" t="s">
        <v>166</v>
      </c>
      <c r="B12" s="3" t="s">
        <v>7</v>
      </c>
      <c r="C12" s="4">
        <f>BOQ!F181</f>
        <v>0</v>
      </c>
    </row>
    <row r="13" spans="1:6">
      <c r="A13" s="2" t="s">
        <v>167</v>
      </c>
      <c r="B13" s="3" t="s">
        <v>7</v>
      </c>
      <c r="C13" s="4">
        <f>BOQ!F212</f>
        <v>0</v>
      </c>
    </row>
    <row r="14" spans="1:6" ht="23.4" thickBot="1">
      <c r="A14" s="5"/>
      <c r="B14" s="3"/>
      <c r="C14" s="4"/>
    </row>
    <row r="15" spans="1:6" ht="24" thickTop="1" thickBot="1">
      <c r="A15" s="6" t="s">
        <v>45</v>
      </c>
      <c r="B15" s="7" t="s">
        <v>7</v>
      </c>
      <c r="C15" s="8">
        <f>SUM(C6:C13)</f>
        <v>0</v>
      </c>
      <c r="D15" s="18"/>
    </row>
    <row r="16" spans="1:6" ht="24" thickTop="1" thickBot="1">
      <c r="A16" s="6" t="s">
        <v>47</v>
      </c>
      <c r="B16" s="7" t="s">
        <v>7</v>
      </c>
      <c r="C16" s="8">
        <f>C15*0.15</f>
        <v>0</v>
      </c>
      <c r="D16" s="18"/>
      <c r="E16" s="18"/>
      <c r="F16" s="25"/>
    </row>
    <row r="17" spans="1:4" ht="24" thickTop="1" thickBot="1">
      <c r="A17" s="6"/>
      <c r="B17" s="7"/>
      <c r="C17" s="8"/>
      <c r="D17" s="18"/>
    </row>
    <row r="18" spans="1:4" ht="24" thickTop="1" thickBot="1">
      <c r="A18" s="6" t="s">
        <v>48</v>
      </c>
      <c r="B18" s="7" t="s">
        <v>7</v>
      </c>
      <c r="C18" s="8">
        <f>C15+C16</f>
        <v>0</v>
      </c>
      <c r="D18" s="18"/>
    </row>
    <row r="19" spans="1:4" ht="23.4" thickTop="1"/>
    <row r="32" spans="1:4">
      <c r="A32" s="176" t="s">
        <v>337</v>
      </c>
      <c r="B32" s="177"/>
      <c r="C32" s="178"/>
    </row>
    <row r="641" spans="5:5">
      <c r="E641" s="1">
        <v>2660</v>
      </c>
    </row>
    <row r="722" spans="4:5">
      <c r="D722" s="1">
        <v>60</v>
      </c>
      <c r="E722" s="1">
        <v>28500</v>
      </c>
    </row>
    <row r="729" spans="4:5">
      <c r="D729" s="1">
        <v>60</v>
      </c>
    </row>
  </sheetData>
  <mergeCells count="5">
    <mergeCell ref="A5:C5"/>
    <mergeCell ref="A1:C1"/>
    <mergeCell ref="A2:C2"/>
    <mergeCell ref="A4:C4"/>
    <mergeCell ref="A32:C32"/>
  </mergeCells>
  <pageMargins left="0.70866141732283505" right="0.70866141732283505" top="0.74803149606299202" bottom="0.74803149606299202" header="0.31496062992126" footer="0.31496062992126"/>
  <pageSetup scale="74" fitToHeight="0" orientation="portrait" r:id="rId1"/>
  <headerFooter>
    <oddHeader>&amp;A</oddHeader>
    <oddFooter>&amp;CPage &amp;P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2"/>
  <sheetViews>
    <sheetView tabSelected="1" view="pageBreakPreview" zoomScaleNormal="80" zoomScaleSheetLayoutView="100" workbookViewId="0">
      <selection activeCell="F144" sqref="F144"/>
    </sheetView>
  </sheetViews>
  <sheetFormatPr defaultColWidth="9.109375" defaultRowHeight="14.4"/>
  <cols>
    <col min="1" max="1" width="11.6640625" style="99" customWidth="1"/>
    <col min="2" max="2" width="68.33203125" style="9" customWidth="1"/>
    <col min="3" max="3" width="7.33203125" style="24" customWidth="1"/>
    <col min="4" max="4" width="10.44140625" style="138" bestFit="1" customWidth="1"/>
    <col min="5" max="5" width="12.33203125" style="138" customWidth="1"/>
    <col min="6" max="6" width="13.6640625" style="138" bestFit="1" customWidth="1"/>
    <col min="7" max="7" width="11.33203125" style="9" bestFit="1" customWidth="1"/>
    <col min="8" max="8" width="12.44140625" style="9" bestFit="1" customWidth="1"/>
    <col min="9" max="9" width="9.109375" style="9"/>
    <col min="10" max="10" width="12.44140625" style="9" bestFit="1" customWidth="1"/>
    <col min="11" max="11" width="9.109375" style="9"/>
    <col min="12" max="12" width="11.6640625" style="9" bestFit="1" customWidth="1"/>
    <col min="13" max="13" width="11.33203125" style="9" bestFit="1" customWidth="1"/>
    <col min="14" max="16384" width="9.109375" style="9"/>
  </cols>
  <sheetData>
    <row r="1" spans="1:26" s="23" customFormat="1" ht="15" thickBot="1">
      <c r="A1" s="179" t="s">
        <v>336</v>
      </c>
      <c r="B1" s="179"/>
      <c r="C1" s="179"/>
      <c r="D1" s="179"/>
      <c r="E1" s="179"/>
      <c r="F1" s="179"/>
      <c r="G1" s="22"/>
    </row>
    <row r="2" spans="1:26" ht="15" thickBot="1">
      <c r="A2" s="95" t="s">
        <v>0</v>
      </c>
      <c r="B2" s="12" t="s">
        <v>1</v>
      </c>
      <c r="C2" s="19" t="s">
        <v>2</v>
      </c>
      <c r="D2" s="20" t="s">
        <v>3</v>
      </c>
      <c r="E2" s="20" t="s">
        <v>4</v>
      </c>
      <c r="F2" s="20" t="s">
        <v>3</v>
      </c>
    </row>
    <row r="3" spans="1:26" s="15" customFormat="1">
      <c r="A3" s="26" t="s">
        <v>49</v>
      </c>
      <c r="B3" s="13" t="s">
        <v>43</v>
      </c>
      <c r="C3" s="14"/>
      <c r="D3" s="122"/>
      <c r="E3" s="122"/>
      <c r="F3" s="123"/>
    </row>
    <row r="4" spans="1:26" s="15" customFormat="1">
      <c r="A4" s="26" t="s">
        <v>54</v>
      </c>
      <c r="B4" s="17" t="s">
        <v>46</v>
      </c>
      <c r="C4" s="14"/>
      <c r="D4" s="122"/>
      <c r="E4" s="122"/>
      <c r="F4" s="123"/>
      <c r="G4" s="9"/>
      <c r="H4" s="9"/>
      <c r="I4" s="9"/>
      <c r="J4" s="9"/>
      <c r="K4" s="9"/>
      <c r="L4" s="9"/>
    </row>
    <row r="5" spans="1:26" ht="46.95" customHeight="1">
      <c r="A5" s="96"/>
      <c r="B5" s="30" t="s">
        <v>120</v>
      </c>
      <c r="C5" s="16"/>
      <c r="D5" s="124"/>
      <c r="E5" s="125"/>
      <c r="F5" s="126"/>
    </row>
    <row r="6" spans="1:26" ht="15" customHeight="1" thickBot="1">
      <c r="A6" s="96" t="s">
        <v>55</v>
      </c>
      <c r="B6" s="30" t="s">
        <v>140</v>
      </c>
      <c r="C6" s="16" t="s">
        <v>5</v>
      </c>
      <c r="D6" s="124">
        <v>10</v>
      </c>
      <c r="E6" s="125"/>
      <c r="F6" s="126">
        <f>E6*D6</f>
        <v>0</v>
      </c>
    </row>
    <row r="7" spans="1:26" s="15" customFormat="1" ht="15" thickBot="1">
      <c r="A7" s="101" t="s">
        <v>49</v>
      </c>
      <c r="B7" s="88" t="s">
        <v>44</v>
      </c>
      <c r="C7" s="89"/>
      <c r="D7" s="127"/>
      <c r="E7" s="127"/>
      <c r="F7" s="128">
        <f>SUM(F4:F6)</f>
        <v>0</v>
      </c>
    </row>
    <row r="8" spans="1:26" customFormat="1" ht="15.75" customHeight="1">
      <c r="A8" s="106" t="s">
        <v>8</v>
      </c>
      <c r="B8" s="107" t="s">
        <v>12</v>
      </c>
      <c r="C8" s="108"/>
      <c r="D8" s="129"/>
      <c r="E8" s="129"/>
      <c r="F8" s="129"/>
      <c r="G8" s="109"/>
      <c r="H8" s="109"/>
      <c r="I8" s="109"/>
      <c r="J8" s="109"/>
      <c r="K8" s="109"/>
      <c r="L8" s="109"/>
      <c r="M8" s="109"/>
      <c r="N8" s="109"/>
      <c r="O8" s="109"/>
      <c r="P8" s="109"/>
      <c r="Q8" s="109"/>
      <c r="R8" s="109"/>
      <c r="S8" s="109"/>
      <c r="T8" s="109"/>
      <c r="U8" s="109"/>
      <c r="V8" s="109"/>
      <c r="W8" s="109"/>
      <c r="X8" s="109"/>
      <c r="Y8" s="109"/>
      <c r="Z8" s="109"/>
    </row>
    <row r="9" spans="1:26" customFormat="1" ht="15.75" customHeight="1">
      <c r="A9" s="110" t="s">
        <v>56</v>
      </c>
      <c r="B9" s="107" t="s">
        <v>155</v>
      </c>
      <c r="C9" s="108"/>
      <c r="D9" s="129"/>
      <c r="E9" s="129"/>
      <c r="F9" s="129"/>
      <c r="G9" s="109"/>
      <c r="H9" s="109"/>
      <c r="I9" s="109"/>
      <c r="J9" s="109"/>
      <c r="K9" s="109"/>
      <c r="L9" s="109"/>
      <c r="M9" s="109"/>
      <c r="N9" s="109"/>
      <c r="O9" s="109"/>
      <c r="P9" s="109"/>
      <c r="Q9" s="109"/>
      <c r="R9" s="109"/>
      <c r="S9" s="109"/>
      <c r="T9" s="109"/>
      <c r="U9" s="109"/>
      <c r="V9" s="109"/>
      <c r="W9" s="109"/>
      <c r="X9" s="109"/>
      <c r="Y9" s="109"/>
      <c r="Z9" s="109"/>
    </row>
    <row r="10" spans="1:26" customFormat="1" ht="88.95" customHeight="1">
      <c r="A10" s="111"/>
      <c r="B10" s="120" t="s">
        <v>335</v>
      </c>
      <c r="C10" s="113"/>
      <c r="D10" s="130"/>
      <c r="E10" s="131"/>
      <c r="F10" s="132"/>
      <c r="G10" s="109"/>
      <c r="H10" s="109"/>
      <c r="I10" s="109"/>
      <c r="J10" s="109"/>
      <c r="K10" s="109"/>
      <c r="L10" s="109"/>
      <c r="M10" s="109"/>
      <c r="N10" s="109"/>
      <c r="O10" s="109"/>
      <c r="P10" s="109"/>
      <c r="Q10" s="109"/>
      <c r="R10" s="109"/>
      <c r="S10" s="109"/>
      <c r="T10" s="109"/>
      <c r="U10" s="109"/>
      <c r="V10" s="109"/>
      <c r="W10" s="109"/>
      <c r="X10" s="109"/>
      <c r="Y10" s="109"/>
      <c r="Z10" s="109"/>
    </row>
    <row r="11" spans="1:26" customFormat="1" ht="91.95" customHeight="1">
      <c r="A11" s="111"/>
      <c r="B11" s="112" t="s">
        <v>156</v>
      </c>
      <c r="C11" s="113"/>
      <c r="D11" s="130"/>
      <c r="E11" s="131"/>
      <c r="F11" s="132"/>
      <c r="G11" s="109"/>
      <c r="H11" s="109"/>
      <c r="I11" s="109"/>
      <c r="J11" s="109"/>
      <c r="K11" s="109"/>
      <c r="L11" s="109"/>
      <c r="M11" s="109"/>
      <c r="N11" s="109"/>
      <c r="O11" s="109"/>
      <c r="P11" s="109"/>
      <c r="Q11" s="109"/>
      <c r="R11" s="109"/>
      <c r="S11" s="109"/>
      <c r="T11" s="109"/>
      <c r="U11" s="109"/>
      <c r="V11" s="109"/>
      <c r="W11" s="109"/>
      <c r="X11" s="109"/>
      <c r="Y11" s="109"/>
      <c r="Z11" s="109"/>
    </row>
    <row r="12" spans="1:26" customFormat="1" ht="15.75" customHeight="1">
      <c r="A12" s="114" t="s">
        <v>57</v>
      </c>
      <c r="B12" s="115" t="s">
        <v>157</v>
      </c>
      <c r="C12" s="116"/>
      <c r="D12" s="130"/>
      <c r="E12" s="131"/>
      <c r="F12" s="132"/>
      <c r="G12" s="109"/>
      <c r="H12" s="109"/>
      <c r="I12" s="109"/>
      <c r="J12" s="109"/>
      <c r="K12" s="109"/>
      <c r="L12" s="109"/>
      <c r="M12" s="109"/>
      <c r="N12" s="109"/>
      <c r="O12" s="109"/>
      <c r="P12" s="109"/>
      <c r="Q12" s="109"/>
      <c r="R12" s="109"/>
      <c r="S12" s="109"/>
      <c r="T12" s="109"/>
      <c r="U12" s="109"/>
      <c r="V12" s="109"/>
      <c r="W12" s="109"/>
      <c r="X12" s="109"/>
      <c r="Y12" s="109"/>
      <c r="Z12" s="109"/>
    </row>
    <row r="13" spans="1:26" customFormat="1" ht="15.75" customHeight="1">
      <c r="A13" s="117" t="s">
        <v>168</v>
      </c>
      <c r="B13" s="112" t="s">
        <v>275</v>
      </c>
      <c r="C13" s="113" t="s">
        <v>13</v>
      </c>
      <c r="D13" s="133">
        <v>1</v>
      </c>
      <c r="E13" s="126"/>
      <c r="F13" s="134">
        <f t="shared" ref="F13:F31" si="0">D13*E13</f>
        <v>0</v>
      </c>
      <c r="G13" s="118"/>
      <c r="H13" s="118"/>
      <c r="I13" s="118"/>
      <c r="J13" s="118"/>
      <c r="K13" s="118"/>
      <c r="L13" s="118"/>
      <c r="M13" s="118"/>
      <c r="N13" s="118"/>
      <c r="O13" s="118"/>
      <c r="P13" s="118"/>
      <c r="Q13" s="118"/>
      <c r="R13" s="118"/>
      <c r="S13" s="118"/>
      <c r="T13" s="118"/>
      <c r="U13" s="118"/>
      <c r="V13" s="118"/>
      <c r="W13" s="118"/>
      <c r="X13" s="118"/>
      <c r="Y13" s="118"/>
      <c r="Z13" s="118"/>
    </row>
    <row r="14" spans="1:26" customFormat="1" ht="15.75" customHeight="1">
      <c r="A14" s="117" t="s">
        <v>171</v>
      </c>
      <c r="B14" s="112" t="s">
        <v>288</v>
      </c>
      <c r="C14" s="113" t="s">
        <v>13</v>
      </c>
      <c r="D14" s="133">
        <v>1</v>
      </c>
      <c r="E14" s="126"/>
      <c r="F14" s="134">
        <f t="shared" si="0"/>
        <v>0</v>
      </c>
      <c r="G14" s="118"/>
      <c r="H14" s="118"/>
      <c r="I14" s="118"/>
      <c r="J14" s="118"/>
      <c r="K14" s="118"/>
      <c r="L14" s="118"/>
      <c r="M14" s="118"/>
      <c r="N14" s="118"/>
      <c r="O14" s="118"/>
      <c r="P14" s="118"/>
      <c r="Q14" s="118"/>
      <c r="R14" s="118"/>
      <c r="S14" s="118"/>
      <c r="T14" s="118"/>
      <c r="U14" s="118"/>
      <c r="V14" s="118"/>
      <c r="W14" s="118"/>
      <c r="X14" s="118"/>
      <c r="Y14" s="118"/>
      <c r="Z14" s="118"/>
    </row>
    <row r="15" spans="1:26" customFormat="1" ht="15.75" customHeight="1">
      <c r="A15" s="117" t="s">
        <v>190</v>
      </c>
      <c r="B15" s="112" t="s">
        <v>276</v>
      </c>
      <c r="C15" s="113" t="s">
        <v>13</v>
      </c>
      <c r="D15" s="133">
        <v>5</v>
      </c>
      <c r="E15" s="126"/>
      <c r="F15" s="134">
        <f t="shared" si="0"/>
        <v>0</v>
      </c>
      <c r="G15" s="118"/>
      <c r="H15" s="118"/>
      <c r="I15" s="118"/>
      <c r="J15" s="118"/>
      <c r="K15" s="118"/>
      <c r="L15" s="118"/>
      <c r="M15" s="118"/>
      <c r="N15" s="118"/>
      <c r="O15" s="118"/>
      <c r="P15" s="118"/>
      <c r="Q15" s="118"/>
      <c r="R15" s="118"/>
      <c r="S15" s="118"/>
      <c r="T15" s="118"/>
      <c r="U15" s="118"/>
      <c r="V15" s="118"/>
      <c r="W15" s="118"/>
      <c r="X15" s="118"/>
      <c r="Y15" s="118"/>
      <c r="Z15" s="118"/>
    </row>
    <row r="16" spans="1:26" customFormat="1" ht="15.75" customHeight="1">
      <c r="A16" s="117" t="s">
        <v>296</v>
      </c>
      <c r="B16" s="112" t="s">
        <v>277</v>
      </c>
      <c r="C16" s="113" t="s">
        <v>13</v>
      </c>
      <c r="D16" s="133">
        <v>1</v>
      </c>
      <c r="E16" s="126"/>
      <c r="F16" s="134">
        <f t="shared" si="0"/>
        <v>0</v>
      </c>
      <c r="G16" s="118"/>
      <c r="H16" s="118"/>
      <c r="I16" s="118"/>
      <c r="J16" s="118"/>
      <c r="K16" s="118"/>
      <c r="L16" s="118"/>
      <c r="M16" s="118"/>
      <c r="N16" s="118"/>
      <c r="O16" s="118"/>
      <c r="P16" s="118"/>
      <c r="Q16" s="118"/>
      <c r="R16" s="118"/>
      <c r="S16" s="118"/>
      <c r="T16" s="118"/>
      <c r="U16" s="118"/>
      <c r="V16" s="118"/>
      <c r="W16" s="118"/>
      <c r="X16" s="118"/>
      <c r="Y16" s="118"/>
      <c r="Z16" s="118"/>
    </row>
    <row r="17" spans="1:26" customFormat="1" ht="15.75" customHeight="1">
      <c r="A17" s="117" t="s">
        <v>297</v>
      </c>
      <c r="B17" s="112" t="s">
        <v>278</v>
      </c>
      <c r="C17" s="113" t="s">
        <v>13</v>
      </c>
      <c r="D17" s="133">
        <v>1</v>
      </c>
      <c r="E17" s="126"/>
      <c r="F17" s="134">
        <f t="shared" si="0"/>
        <v>0</v>
      </c>
      <c r="G17" s="118"/>
      <c r="H17" s="118"/>
      <c r="I17" s="118"/>
      <c r="J17" s="118"/>
      <c r="K17" s="118"/>
      <c r="L17" s="118"/>
      <c r="M17" s="118"/>
      <c r="N17" s="118"/>
      <c r="O17" s="118"/>
      <c r="P17" s="118"/>
      <c r="Q17" s="118"/>
      <c r="R17" s="118"/>
      <c r="S17" s="118"/>
      <c r="T17" s="118"/>
      <c r="U17" s="118"/>
      <c r="V17" s="118"/>
      <c r="W17" s="118"/>
      <c r="X17" s="118"/>
      <c r="Y17" s="118"/>
      <c r="Z17" s="118"/>
    </row>
    <row r="18" spans="1:26" customFormat="1" ht="15.75" customHeight="1">
      <c r="A18" s="117" t="s">
        <v>298</v>
      </c>
      <c r="B18" s="112" t="s">
        <v>279</v>
      </c>
      <c r="C18" s="113" t="s">
        <v>13</v>
      </c>
      <c r="D18" s="133">
        <v>1</v>
      </c>
      <c r="E18" s="126"/>
      <c r="F18" s="134">
        <f t="shared" si="0"/>
        <v>0</v>
      </c>
      <c r="G18" s="118"/>
      <c r="H18" s="118"/>
      <c r="I18" s="118"/>
      <c r="J18" s="118"/>
      <c r="K18" s="118"/>
      <c r="L18" s="118"/>
      <c r="M18" s="118"/>
      <c r="N18" s="118"/>
      <c r="O18" s="118"/>
      <c r="P18" s="118"/>
      <c r="Q18" s="118"/>
      <c r="R18" s="118"/>
      <c r="S18" s="118"/>
      <c r="T18" s="118"/>
      <c r="U18" s="118"/>
      <c r="V18" s="118"/>
      <c r="W18" s="118"/>
      <c r="X18" s="118"/>
      <c r="Y18" s="118"/>
      <c r="Z18" s="118"/>
    </row>
    <row r="19" spans="1:26" customFormat="1" ht="15.75" customHeight="1">
      <c r="A19" s="117" t="s">
        <v>299</v>
      </c>
      <c r="B19" s="112" t="s">
        <v>286</v>
      </c>
      <c r="C19" s="113" t="s">
        <v>13</v>
      </c>
      <c r="D19" s="133">
        <v>1</v>
      </c>
      <c r="E19" s="126"/>
      <c r="F19" s="134">
        <f t="shared" si="0"/>
        <v>0</v>
      </c>
      <c r="G19" s="118"/>
      <c r="H19" s="118"/>
      <c r="I19" s="118"/>
      <c r="J19" s="118"/>
      <c r="K19" s="118"/>
      <c r="L19" s="118"/>
      <c r="M19" s="118"/>
      <c r="N19" s="118"/>
      <c r="O19" s="118"/>
      <c r="P19" s="118"/>
      <c r="Q19" s="118"/>
      <c r="R19" s="118"/>
      <c r="S19" s="118"/>
      <c r="T19" s="118"/>
      <c r="U19" s="118"/>
      <c r="V19" s="118"/>
      <c r="W19" s="118"/>
      <c r="X19" s="118"/>
      <c r="Y19" s="118"/>
      <c r="Z19" s="118"/>
    </row>
    <row r="20" spans="1:26" customFormat="1" ht="15.75" customHeight="1">
      <c r="A20" s="117" t="s">
        <v>300</v>
      </c>
      <c r="B20" s="112" t="s">
        <v>280</v>
      </c>
      <c r="C20" s="113" t="s">
        <v>13</v>
      </c>
      <c r="D20" s="133">
        <v>1</v>
      </c>
      <c r="E20" s="126"/>
      <c r="F20" s="134">
        <f t="shared" ref="F20:F21" si="1">D20*E20</f>
        <v>0</v>
      </c>
      <c r="G20" s="118"/>
      <c r="H20" s="118"/>
      <c r="I20" s="118"/>
      <c r="J20" s="118"/>
      <c r="K20" s="118"/>
      <c r="L20" s="118"/>
      <c r="M20" s="118"/>
      <c r="N20" s="118"/>
      <c r="O20" s="118"/>
      <c r="P20" s="118"/>
      <c r="Q20" s="118"/>
      <c r="R20" s="118"/>
      <c r="S20" s="118"/>
      <c r="T20" s="118"/>
      <c r="U20" s="118"/>
      <c r="V20" s="118"/>
      <c r="W20" s="118"/>
      <c r="X20" s="118"/>
      <c r="Y20" s="118"/>
      <c r="Z20" s="118"/>
    </row>
    <row r="21" spans="1:26" customFormat="1" ht="15.75" customHeight="1">
      <c r="A21" s="117" t="s">
        <v>301</v>
      </c>
      <c r="B21" s="112" t="s">
        <v>281</v>
      </c>
      <c r="C21" s="113" t="s">
        <v>13</v>
      </c>
      <c r="D21" s="133">
        <v>1</v>
      </c>
      <c r="E21" s="126"/>
      <c r="F21" s="134">
        <f t="shared" si="1"/>
        <v>0</v>
      </c>
      <c r="G21" s="118"/>
      <c r="H21" s="118"/>
      <c r="I21" s="118"/>
      <c r="J21" s="118"/>
      <c r="K21" s="118"/>
      <c r="L21" s="118"/>
      <c r="M21" s="118"/>
      <c r="N21" s="118"/>
      <c r="O21" s="118"/>
      <c r="P21" s="118"/>
      <c r="Q21" s="118"/>
      <c r="R21" s="118"/>
      <c r="S21" s="118"/>
      <c r="T21" s="118"/>
      <c r="U21" s="118"/>
      <c r="V21" s="118"/>
      <c r="W21" s="118"/>
      <c r="X21" s="118"/>
      <c r="Y21" s="118"/>
      <c r="Z21" s="118"/>
    </row>
    <row r="22" spans="1:26" customFormat="1" ht="15.75" customHeight="1">
      <c r="A22" s="117" t="s">
        <v>302</v>
      </c>
      <c r="B22" s="112" t="s">
        <v>282</v>
      </c>
      <c r="C22" s="113" t="s">
        <v>13</v>
      </c>
      <c r="D22" s="133">
        <v>1</v>
      </c>
      <c r="E22" s="126"/>
      <c r="F22" s="134">
        <f t="shared" ref="F22:F24" si="2">D22*E22</f>
        <v>0</v>
      </c>
      <c r="G22" s="118"/>
      <c r="H22" s="118"/>
      <c r="I22" s="118"/>
      <c r="J22" s="118"/>
      <c r="K22" s="118"/>
      <c r="L22" s="118"/>
      <c r="M22" s="118"/>
      <c r="N22" s="118"/>
      <c r="O22" s="118"/>
      <c r="P22" s="118"/>
      <c r="Q22" s="118"/>
      <c r="R22" s="118"/>
      <c r="S22" s="118"/>
      <c r="T22" s="118"/>
      <c r="U22" s="118"/>
      <c r="V22" s="118"/>
      <c r="W22" s="118"/>
      <c r="X22" s="118"/>
      <c r="Y22" s="118"/>
      <c r="Z22" s="118"/>
    </row>
    <row r="23" spans="1:26" customFormat="1" ht="15.75" customHeight="1">
      <c r="A23" s="117" t="s">
        <v>303</v>
      </c>
      <c r="B23" s="112" t="s">
        <v>283</v>
      </c>
      <c r="C23" s="113" t="s">
        <v>13</v>
      </c>
      <c r="D23" s="133">
        <v>1</v>
      </c>
      <c r="E23" s="126"/>
      <c r="F23" s="134">
        <f t="shared" ref="F23" si="3">D23*E23</f>
        <v>0</v>
      </c>
      <c r="G23" s="118"/>
      <c r="H23" s="118"/>
      <c r="I23" s="118"/>
      <c r="J23" s="118"/>
      <c r="K23" s="118"/>
      <c r="L23" s="118"/>
      <c r="M23" s="118"/>
      <c r="N23" s="118"/>
      <c r="O23" s="118"/>
      <c r="P23" s="118"/>
      <c r="Q23" s="118"/>
      <c r="R23" s="118"/>
      <c r="S23" s="118"/>
      <c r="T23" s="118"/>
      <c r="U23" s="118"/>
      <c r="V23" s="118"/>
      <c r="W23" s="118"/>
      <c r="X23" s="118"/>
      <c r="Y23" s="118"/>
      <c r="Z23" s="118"/>
    </row>
    <row r="24" spans="1:26" customFormat="1" ht="15.75" customHeight="1">
      <c r="A24" s="117" t="s">
        <v>304</v>
      </c>
      <c r="B24" s="112" t="s">
        <v>287</v>
      </c>
      <c r="C24" s="113" t="s">
        <v>13</v>
      </c>
      <c r="D24" s="133">
        <v>1</v>
      </c>
      <c r="E24" s="126"/>
      <c r="F24" s="134">
        <f t="shared" si="2"/>
        <v>0</v>
      </c>
      <c r="G24" s="118"/>
      <c r="H24" s="118"/>
      <c r="I24" s="118"/>
      <c r="J24" s="118"/>
      <c r="K24" s="118"/>
      <c r="L24" s="118"/>
      <c r="M24" s="118"/>
      <c r="N24" s="118"/>
      <c r="O24" s="118"/>
      <c r="P24" s="118"/>
      <c r="Q24" s="118"/>
      <c r="R24" s="118"/>
      <c r="S24" s="118"/>
      <c r="T24" s="118"/>
      <c r="U24" s="118"/>
      <c r="V24" s="118"/>
      <c r="W24" s="118"/>
      <c r="X24" s="118"/>
      <c r="Y24" s="118"/>
      <c r="Z24" s="118"/>
    </row>
    <row r="25" spans="1:26" customFormat="1" ht="15.75" customHeight="1">
      <c r="A25" s="117" t="s">
        <v>305</v>
      </c>
      <c r="B25" s="112" t="s">
        <v>284</v>
      </c>
      <c r="C25" s="113" t="s">
        <v>13</v>
      </c>
      <c r="D25" s="133">
        <v>1</v>
      </c>
      <c r="E25" s="126"/>
      <c r="F25" s="134">
        <f t="shared" si="0"/>
        <v>0</v>
      </c>
      <c r="G25" s="118"/>
      <c r="H25" s="118"/>
      <c r="I25" s="118"/>
      <c r="J25" s="118"/>
      <c r="K25" s="118"/>
      <c r="L25" s="118"/>
      <c r="M25" s="118"/>
      <c r="N25" s="118"/>
      <c r="O25" s="118"/>
      <c r="P25" s="118"/>
      <c r="Q25" s="118"/>
      <c r="R25" s="118"/>
      <c r="S25" s="118"/>
      <c r="T25" s="118"/>
      <c r="U25" s="118"/>
      <c r="V25" s="118"/>
      <c r="W25" s="118"/>
      <c r="X25" s="118"/>
      <c r="Y25" s="118"/>
      <c r="Z25" s="118"/>
    </row>
    <row r="26" spans="1:26" customFormat="1" ht="15.75" customHeight="1">
      <c r="A26" s="117" t="s">
        <v>306</v>
      </c>
      <c r="B26" s="112" t="s">
        <v>285</v>
      </c>
      <c r="C26" s="113" t="s">
        <v>13</v>
      </c>
      <c r="D26" s="133">
        <v>1</v>
      </c>
      <c r="E26" s="126"/>
      <c r="F26" s="134">
        <f t="shared" si="0"/>
        <v>0</v>
      </c>
      <c r="G26" s="118"/>
      <c r="H26" s="118"/>
      <c r="I26" s="118"/>
      <c r="J26" s="118"/>
      <c r="K26" s="118"/>
      <c r="L26" s="118"/>
      <c r="M26" s="118"/>
      <c r="N26" s="118"/>
      <c r="O26" s="118"/>
      <c r="P26" s="118"/>
      <c r="Q26" s="118"/>
      <c r="R26" s="118"/>
      <c r="S26" s="118"/>
      <c r="T26" s="118"/>
      <c r="U26" s="118"/>
      <c r="V26" s="118"/>
      <c r="W26" s="118"/>
      <c r="X26" s="118"/>
      <c r="Y26" s="118"/>
      <c r="Z26" s="118"/>
    </row>
    <row r="27" spans="1:26" customFormat="1" ht="15.75" customHeight="1">
      <c r="A27" s="117" t="s">
        <v>307</v>
      </c>
      <c r="B27" s="112" t="s">
        <v>289</v>
      </c>
      <c r="C27" s="113" t="s">
        <v>13</v>
      </c>
      <c r="D27" s="133">
        <v>1</v>
      </c>
      <c r="E27" s="126"/>
      <c r="F27" s="134">
        <f t="shared" si="0"/>
        <v>0</v>
      </c>
      <c r="G27" s="118"/>
      <c r="H27" s="118"/>
      <c r="I27" s="118"/>
      <c r="J27" s="118"/>
      <c r="K27" s="118"/>
      <c r="L27" s="118"/>
      <c r="M27" s="118"/>
      <c r="N27" s="118"/>
      <c r="O27" s="118"/>
      <c r="P27" s="118"/>
      <c r="Q27" s="118"/>
      <c r="R27" s="118"/>
      <c r="S27" s="118"/>
      <c r="T27" s="118"/>
      <c r="U27" s="118"/>
      <c r="V27" s="118"/>
      <c r="W27" s="118"/>
      <c r="X27" s="118"/>
      <c r="Y27" s="118"/>
      <c r="Z27" s="118"/>
    </row>
    <row r="28" spans="1:26" customFormat="1" ht="15.75" customHeight="1">
      <c r="A28" s="117" t="s">
        <v>308</v>
      </c>
      <c r="B28" s="112" t="s">
        <v>290</v>
      </c>
      <c r="C28" s="113" t="s">
        <v>13</v>
      </c>
      <c r="D28" s="133">
        <v>1</v>
      </c>
      <c r="E28" s="126"/>
      <c r="F28" s="134">
        <f t="shared" ref="F28:F29" si="4">D28*E28</f>
        <v>0</v>
      </c>
      <c r="G28" s="118"/>
      <c r="H28" s="118"/>
      <c r="I28" s="118"/>
      <c r="J28" s="118"/>
      <c r="K28" s="118"/>
      <c r="L28" s="118"/>
      <c r="M28" s="118"/>
      <c r="N28" s="118"/>
      <c r="O28" s="118"/>
      <c r="P28" s="118"/>
      <c r="Q28" s="118"/>
      <c r="R28" s="118"/>
      <c r="S28" s="118"/>
      <c r="T28" s="118"/>
      <c r="U28" s="118"/>
      <c r="V28" s="118"/>
      <c r="W28" s="118"/>
      <c r="X28" s="118"/>
      <c r="Y28" s="118"/>
      <c r="Z28" s="118"/>
    </row>
    <row r="29" spans="1:26" customFormat="1" ht="15.75" customHeight="1">
      <c r="A29" s="117" t="s">
        <v>309</v>
      </c>
      <c r="B29" s="112" t="s">
        <v>291</v>
      </c>
      <c r="C29" s="113" t="s">
        <v>13</v>
      </c>
      <c r="D29" s="133">
        <v>1</v>
      </c>
      <c r="E29" s="126"/>
      <c r="F29" s="134">
        <f t="shared" si="4"/>
        <v>0</v>
      </c>
      <c r="G29" s="118"/>
      <c r="H29" s="118"/>
      <c r="I29" s="118"/>
      <c r="J29" s="118"/>
      <c r="K29" s="118"/>
      <c r="L29" s="118"/>
      <c r="M29" s="118"/>
      <c r="N29" s="118"/>
      <c r="O29" s="118"/>
      <c r="P29" s="118"/>
      <c r="Q29" s="118"/>
      <c r="R29" s="118"/>
      <c r="S29" s="118"/>
      <c r="T29" s="118"/>
      <c r="U29" s="118"/>
      <c r="V29" s="118"/>
      <c r="W29" s="118"/>
      <c r="X29" s="118"/>
      <c r="Y29" s="118"/>
      <c r="Z29" s="118"/>
    </row>
    <row r="30" spans="1:26" customFormat="1" ht="15.75" customHeight="1">
      <c r="A30" s="117" t="s">
        <v>310</v>
      </c>
      <c r="B30" s="112" t="s">
        <v>292</v>
      </c>
      <c r="C30" s="113" t="s">
        <v>13</v>
      </c>
      <c r="D30" s="133">
        <v>1</v>
      </c>
      <c r="E30" s="126"/>
      <c r="F30" s="134">
        <f t="shared" si="0"/>
        <v>0</v>
      </c>
      <c r="G30" s="118"/>
      <c r="H30" s="118"/>
      <c r="I30" s="118"/>
      <c r="J30" s="118"/>
      <c r="K30" s="118"/>
      <c r="L30" s="118"/>
      <c r="M30" s="118"/>
      <c r="N30" s="118"/>
      <c r="O30" s="118"/>
      <c r="P30" s="118"/>
      <c r="Q30" s="118"/>
      <c r="R30" s="118"/>
      <c r="S30" s="118"/>
      <c r="T30" s="118"/>
      <c r="U30" s="118"/>
      <c r="V30" s="118"/>
      <c r="W30" s="118"/>
      <c r="X30" s="118"/>
      <c r="Y30" s="118"/>
      <c r="Z30" s="118"/>
    </row>
    <row r="31" spans="1:26" customFormat="1" ht="15.75" customHeight="1">
      <c r="A31" s="117" t="s">
        <v>311</v>
      </c>
      <c r="B31" s="112" t="s">
        <v>293</v>
      </c>
      <c r="C31" s="113" t="s">
        <v>13</v>
      </c>
      <c r="D31" s="133">
        <v>1</v>
      </c>
      <c r="E31" s="126"/>
      <c r="F31" s="134">
        <f t="shared" si="0"/>
        <v>0</v>
      </c>
      <c r="G31" s="118"/>
      <c r="H31" s="118"/>
      <c r="I31" s="118"/>
      <c r="J31" s="118"/>
      <c r="K31" s="118"/>
      <c r="L31" s="118"/>
      <c r="M31" s="118"/>
      <c r="N31" s="118"/>
      <c r="O31" s="118"/>
      <c r="P31" s="118"/>
      <c r="Q31" s="118"/>
      <c r="R31" s="118"/>
      <c r="S31" s="118"/>
      <c r="T31" s="118"/>
      <c r="U31" s="118"/>
      <c r="V31" s="118"/>
      <c r="W31" s="118"/>
      <c r="X31" s="118"/>
      <c r="Y31" s="118"/>
      <c r="Z31" s="118"/>
    </row>
    <row r="32" spans="1:26" customFormat="1" ht="15.75" customHeight="1">
      <c r="A32" s="117" t="s">
        <v>312</v>
      </c>
      <c r="B32" s="112" t="s">
        <v>294</v>
      </c>
      <c r="C32" s="113" t="s">
        <v>13</v>
      </c>
      <c r="D32" s="133">
        <v>1</v>
      </c>
      <c r="E32" s="126"/>
      <c r="F32" s="134">
        <f t="shared" ref="F32" si="5">D32*E32</f>
        <v>0</v>
      </c>
      <c r="G32" s="118"/>
      <c r="H32" s="118"/>
      <c r="I32" s="118"/>
      <c r="J32" s="118"/>
      <c r="K32" s="118"/>
      <c r="L32" s="118"/>
      <c r="M32" s="118"/>
      <c r="N32" s="118"/>
      <c r="O32" s="118"/>
      <c r="P32" s="118"/>
      <c r="Q32" s="118"/>
      <c r="R32" s="118"/>
      <c r="S32" s="118"/>
      <c r="T32" s="118"/>
      <c r="U32" s="118"/>
      <c r="V32" s="118"/>
      <c r="W32" s="118"/>
      <c r="X32" s="118"/>
      <c r="Y32" s="118"/>
      <c r="Z32" s="118"/>
    </row>
    <row r="33" spans="1:26" customFormat="1" ht="15.75" customHeight="1">
      <c r="A33" s="114" t="s">
        <v>169</v>
      </c>
      <c r="B33" s="115" t="s">
        <v>314</v>
      </c>
      <c r="C33" s="116"/>
      <c r="D33" s="130"/>
      <c r="E33" s="131"/>
      <c r="F33" s="132"/>
      <c r="G33" s="109"/>
      <c r="H33" s="109"/>
      <c r="I33" s="109"/>
      <c r="J33" s="109"/>
      <c r="K33" s="109"/>
      <c r="L33" s="109"/>
      <c r="M33" s="109"/>
      <c r="N33" s="109"/>
      <c r="O33" s="109"/>
      <c r="P33" s="109"/>
      <c r="Q33" s="109"/>
      <c r="R33" s="109"/>
      <c r="S33" s="109"/>
      <c r="T33" s="109"/>
      <c r="U33" s="109"/>
      <c r="V33" s="109"/>
      <c r="W33" s="109"/>
      <c r="X33" s="109"/>
      <c r="Y33" s="109"/>
      <c r="Z33" s="109"/>
    </row>
    <row r="34" spans="1:26" customFormat="1" ht="15.75" customHeight="1">
      <c r="A34" s="117" t="s">
        <v>170</v>
      </c>
      <c r="B34" s="112" t="s">
        <v>172</v>
      </c>
      <c r="C34" s="113" t="s">
        <v>13</v>
      </c>
      <c r="D34" s="133">
        <v>1</v>
      </c>
      <c r="E34" s="125"/>
      <c r="F34" s="134">
        <f t="shared" ref="F34:F35" si="6">D34*E34</f>
        <v>0</v>
      </c>
      <c r="G34" s="118"/>
      <c r="H34" s="119"/>
      <c r="I34" s="118"/>
      <c r="J34" s="118"/>
      <c r="K34" s="118"/>
      <c r="L34" s="118"/>
      <c r="M34" s="118"/>
      <c r="N34" s="118"/>
      <c r="O34" s="118"/>
      <c r="P34" s="118"/>
      <c r="Q34" s="118"/>
      <c r="R34" s="118"/>
      <c r="S34" s="118"/>
      <c r="T34" s="118"/>
      <c r="U34" s="118"/>
      <c r="V34" s="118"/>
      <c r="W34" s="118"/>
      <c r="X34" s="118"/>
      <c r="Y34" s="118"/>
      <c r="Z34" s="118"/>
    </row>
    <row r="35" spans="1:26" customFormat="1" ht="15.75" customHeight="1">
      <c r="A35" s="117" t="s">
        <v>173</v>
      </c>
      <c r="B35" s="112" t="s">
        <v>313</v>
      </c>
      <c r="C35" s="113" t="s">
        <v>13</v>
      </c>
      <c r="D35" s="133">
        <v>1</v>
      </c>
      <c r="E35" s="125"/>
      <c r="F35" s="134">
        <f t="shared" si="6"/>
        <v>0</v>
      </c>
      <c r="G35" s="118"/>
      <c r="H35" s="119"/>
      <c r="I35" s="118"/>
      <c r="J35" s="118"/>
      <c r="K35" s="118"/>
      <c r="L35" s="118"/>
      <c r="M35" s="118"/>
      <c r="N35" s="118"/>
      <c r="O35" s="118"/>
      <c r="P35" s="118"/>
      <c r="Q35" s="118"/>
      <c r="R35" s="118"/>
      <c r="S35" s="118"/>
      <c r="T35" s="118"/>
      <c r="U35" s="118"/>
      <c r="V35" s="118"/>
      <c r="W35" s="118"/>
      <c r="X35" s="118"/>
      <c r="Y35" s="118"/>
      <c r="Z35" s="118"/>
    </row>
    <row r="36" spans="1:26" customFormat="1" ht="15.75" customHeight="1" thickBot="1">
      <c r="A36" s="117" t="s">
        <v>174</v>
      </c>
      <c r="B36" s="112" t="s">
        <v>295</v>
      </c>
      <c r="C36" s="113" t="s">
        <v>13</v>
      </c>
      <c r="D36" s="133">
        <v>1</v>
      </c>
      <c r="E36" s="125"/>
      <c r="F36" s="134">
        <f t="shared" ref="F36" si="7">D36*E36</f>
        <v>0</v>
      </c>
      <c r="G36" s="118"/>
      <c r="H36" s="119"/>
      <c r="I36" s="118"/>
      <c r="J36" s="118"/>
      <c r="K36" s="118"/>
      <c r="L36" s="118"/>
      <c r="M36" s="118"/>
      <c r="N36" s="118"/>
      <c r="O36" s="118"/>
      <c r="P36" s="118"/>
      <c r="Q36" s="118"/>
      <c r="R36" s="118"/>
      <c r="S36" s="118"/>
      <c r="T36" s="118"/>
      <c r="U36" s="118"/>
      <c r="V36" s="118"/>
      <c r="W36" s="118"/>
      <c r="X36" s="118"/>
      <c r="Y36" s="118"/>
      <c r="Z36" s="118"/>
    </row>
    <row r="37" spans="1:26" customFormat="1" ht="15.75" customHeight="1" thickBot="1">
      <c r="A37" s="101" t="s">
        <v>8</v>
      </c>
      <c r="B37" s="88" t="s">
        <v>14</v>
      </c>
      <c r="C37" s="89"/>
      <c r="D37" s="127"/>
      <c r="E37" s="127"/>
      <c r="F37" s="128">
        <f>SUM(F10:F36)</f>
        <v>0</v>
      </c>
      <c r="G37" s="109"/>
      <c r="H37" s="109"/>
      <c r="I37" s="109"/>
      <c r="J37" s="109"/>
      <c r="K37" s="109"/>
      <c r="L37" s="109"/>
      <c r="M37" s="109"/>
      <c r="N37" s="109"/>
      <c r="O37" s="109"/>
      <c r="P37" s="109"/>
      <c r="Q37" s="109"/>
      <c r="R37" s="109"/>
      <c r="S37" s="109"/>
      <c r="T37" s="109"/>
      <c r="U37" s="109"/>
      <c r="V37" s="109"/>
      <c r="W37" s="109"/>
      <c r="X37" s="109"/>
      <c r="Y37" s="109"/>
      <c r="Z37" s="109"/>
    </row>
    <row r="38" spans="1:26" s="15" customFormat="1">
      <c r="A38" s="26" t="s">
        <v>9</v>
      </c>
      <c r="B38" s="91" t="s">
        <v>126</v>
      </c>
      <c r="C38" s="14"/>
      <c r="D38" s="122"/>
      <c r="E38" s="122"/>
      <c r="F38" s="123"/>
    </row>
    <row r="39" spans="1:26" s="15" customFormat="1">
      <c r="A39" s="26" t="s">
        <v>150</v>
      </c>
      <c r="B39" s="91" t="s">
        <v>127</v>
      </c>
      <c r="C39" s="14"/>
      <c r="D39" s="122"/>
      <c r="E39" s="122"/>
      <c r="F39" s="123"/>
    </row>
    <row r="40" spans="1:26" customFormat="1" ht="108" customHeight="1">
      <c r="A40" s="97"/>
      <c r="B40" s="93" t="s">
        <v>128</v>
      </c>
      <c r="C40" s="92"/>
      <c r="D40" s="135"/>
      <c r="E40" s="136"/>
      <c r="F40" s="137"/>
      <c r="G40" s="90"/>
      <c r="H40" s="90"/>
      <c r="I40" s="90"/>
      <c r="J40" s="90"/>
      <c r="K40" s="90"/>
      <c r="L40" s="90"/>
      <c r="M40" s="90"/>
      <c r="N40" s="90"/>
      <c r="O40" s="90"/>
      <c r="P40" s="90"/>
      <c r="Q40" s="90"/>
      <c r="R40" s="90"/>
      <c r="S40" s="90"/>
      <c r="T40" s="90"/>
      <c r="U40" s="90"/>
      <c r="V40" s="90"/>
      <c r="W40" s="90"/>
      <c r="X40" s="90"/>
      <c r="Y40" s="90"/>
      <c r="Z40" s="90"/>
    </row>
    <row r="41" spans="1:26" customFormat="1" ht="91.95" customHeight="1">
      <c r="A41" s="97"/>
      <c r="B41" s="93" t="s">
        <v>334</v>
      </c>
      <c r="C41" s="92"/>
      <c r="D41" s="135"/>
      <c r="E41" s="136"/>
      <c r="F41" s="137"/>
      <c r="G41" s="90"/>
      <c r="H41" s="90"/>
      <c r="I41" s="90"/>
      <c r="J41" s="90"/>
      <c r="K41" s="90"/>
      <c r="L41" s="90"/>
      <c r="M41" s="90"/>
      <c r="N41" s="90"/>
      <c r="O41" s="90"/>
      <c r="P41" s="90"/>
      <c r="Q41" s="90"/>
      <c r="R41" s="90"/>
      <c r="S41" s="90"/>
      <c r="T41" s="90"/>
      <c r="U41" s="90"/>
      <c r="V41" s="90"/>
      <c r="W41" s="90"/>
      <c r="X41" s="90"/>
      <c r="Y41" s="90"/>
      <c r="Z41" s="90"/>
    </row>
    <row r="42" spans="1:26" s="94" customFormat="1" ht="16.2">
      <c r="A42" s="102" t="s">
        <v>151</v>
      </c>
      <c r="B42" s="103" t="s">
        <v>159</v>
      </c>
      <c r="C42" s="104" t="s">
        <v>117</v>
      </c>
      <c r="D42" s="137">
        <v>103.8</v>
      </c>
      <c r="E42" s="137"/>
      <c r="F42" s="137">
        <f>D42*E42</f>
        <v>0</v>
      </c>
    </row>
    <row r="43" spans="1:26" s="94" customFormat="1" ht="16.2">
      <c r="A43" s="102" t="s">
        <v>158</v>
      </c>
      <c r="B43" s="103" t="s">
        <v>147</v>
      </c>
      <c r="C43" s="104" t="s">
        <v>117</v>
      </c>
      <c r="D43" s="137">
        <v>24.5</v>
      </c>
      <c r="E43" s="137"/>
      <c r="F43" s="137">
        <f>D43*E43</f>
        <v>0</v>
      </c>
    </row>
    <row r="44" spans="1:26" s="94" customFormat="1" ht="16.2">
      <c r="A44" s="102" t="s">
        <v>176</v>
      </c>
      <c r="B44" s="103" t="s">
        <v>331</v>
      </c>
      <c r="C44" s="104" t="s">
        <v>117</v>
      </c>
      <c r="D44" s="137">
        <v>39.799999999999997</v>
      </c>
      <c r="E44" s="137"/>
      <c r="F44" s="137">
        <f>D44*E44</f>
        <v>0</v>
      </c>
    </row>
    <row r="45" spans="1:26" s="94" customFormat="1" ht="16.2">
      <c r="A45" s="102" t="s">
        <v>177</v>
      </c>
      <c r="B45" s="103" t="s">
        <v>332</v>
      </c>
      <c r="C45" s="104" t="s">
        <v>117</v>
      </c>
      <c r="D45" s="137">
        <v>25.9</v>
      </c>
      <c r="E45" s="137"/>
      <c r="F45" s="137">
        <f t="shared" ref="F45:F52" si="8">D45*E45</f>
        <v>0</v>
      </c>
    </row>
    <row r="46" spans="1:26" s="94" customFormat="1" ht="16.2">
      <c r="A46" s="102" t="s">
        <v>178</v>
      </c>
      <c r="B46" s="103" t="s">
        <v>131</v>
      </c>
      <c r="C46" s="104" t="s">
        <v>117</v>
      </c>
      <c r="D46" s="137">
        <v>22.08</v>
      </c>
      <c r="E46" s="137"/>
      <c r="F46" s="137">
        <f t="shared" si="8"/>
        <v>0</v>
      </c>
    </row>
    <row r="47" spans="1:26" s="94" customFormat="1" ht="16.2">
      <c r="A47" s="102" t="s">
        <v>179</v>
      </c>
      <c r="B47" s="103" t="s">
        <v>132</v>
      </c>
      <c r="C47" s="104" t="s">
        <v>117</v>
      </c>
      <c r="D47" s="137">
        <v>29.8</v>
      </c>
      <c r="E47" s="137"/>
      <c r="F47" s="137">
        <f t="shared" si="8"/>
        <v>0</v>
      </c>
    </row>
    <row r="48" spans="1:26" s="94" customFormat="1" ht="16.2">
      <c r="A48" s="102" t="s">
        <v>180</v>
      </c>
      <c r="B48" s="103" t="s">
        <v>133</v>
      </c>
      <c r="C48" s="104" t="s">
        <v>117</v>
      </c>
      <c r="D48" s="137">
        <v>21.66</v>
      </c>
      <c r="E48" s="137"/>
      <c r="F48" s="137">
        <f t="shared" si="8"/>
        <v>0</v>
      </c>
    </row>
    <row r="49" spans="1:6" s="94" customFormat="1" ht="16.2">
      <c r="A49" s="102" t="s">
        <v>181</v>
      </c>
      <c r="B49" s="103" t="s">
        <v>134</v>
      </c>
      <c r="C49" s="104" t="s">
        <v>117</v>
      </c>
      <c r="D49" s="137">
        <v>27.41</v>
      </c>
      <c r="E49" s="137"/>
      <c r="F49" s="137">
        <f t="shared" si="8"/>
        <v>0</v>
      </c>
    </row>
    <row r="50" spans="1:6" s="94" customFormat="1" ht="16.2">
      <c r="A50" s="102" t="s">
        <v>182</v>
      </c>
      <c r="B50" s="103" t="s">
        <v>135</v>
      </c>
      <c r="C50" s="104" t="s">
        <v>117</v>
      </c>
      <c r="D50" s="137">
        <v>23.95</v>
      </c>
      <c r="E50" s="137"/>
      <c r="F50" s="137">
        <f t="shared" si="8"/>
        <v>0</v>
      </c>
    </row>
    <row r="51" spans="1:6" s="94" customFormat="1" ht="16.2">
      <c r="A51" s="102" t="s">
        <v>183</v>
      </c>
      <c r="B51" s="103" t="s">
        <v>136</v>
      </c>
      <c r="C51" s="104" t="s">
        <v>117</v>
      </c>
      <c r="D51" s="137">
        <v>18.559999999999999</v>
      </c>
      <c r="E51" s="137"/>
      <c r="F51" s="137">
        <f t="shared" si="8"/>
        <v>0</v>
      </c>
    </row>
    <row r="52" spans="1:6" s="94" customFormat="1" ht="16.2">
      <c r="A52" s="102" t="s">
        <v>184</v>
      </c>
      <c r="B52" s="103" t="s">
        <v>137</v>
      </c>
      <c r="C52" s="104" t="s">
        <v>117</v>
      </c>
      <c r="D52" s="137">
        <v>21.15</v>
      </c>
      <c r="E52" s="137"/>
      <c r="F52" s="137">
        <f t="shared" si="8"/>
        <v>0</v>
      </c>
    </row>
    <row r="53" spans="1:6" s="94" customFormat="1" ht="16.2">
      <c r="A53" s="102" t="s">
        <v>185</v>
      </c>
      <c r="B53" s="103" t="s">
        <v>141</v>
      </c>
      <c r="C53" s="104" t="s">
        <v>117</v>
      </c>
      <c r="D53" s="137">
        <v>10.74</v>
      </c>
      <c r="E53" s="137"/>
      <c r="F53" s="137">
        <f t="shared" ref="F53:F58" si="9">D53*E53</f>
        <v>0</v>
      </c>
    </row>
    <row r="54" spans="1:6" s="94" customFormat="1" ht="16.2">
      <c r="A54" s="102" t="s">
        <v>186</v>
      </c>
      <c r="B54" s="103" t="s">
        <v>142</v>
      </c>
      <c r="C54" s="104" t="s">
        <v>117</v>
      </c>
      <c r="D54" s="137">
        <v>14.38</v>
      </c>
      <c r="E54" s="137"/>
      <c r="F54" s="137">
        <f t="shared" si="9"/>
        <v>0</v>
      </c>
    </row>
    <row r="55" spans="1:6" s="94" customFormat="1" ht="16.2">
      <c r="A55" s="102" t="s">
        <v>187</v>
      </c>
      <c r="B55" s="103" t="s">
        <v>143</v>
      </c>
      <c r="C55" s="104" t="s">
        <v>117</v>
      </c>
      <c r="D55" s="137">
        <v>11.52</v>
      </c>
      <c r="E55" s="137"/>
      <c r="F55" s="137">
        <f t="shared" si="9"/>
        <v>0</v>
      </c>
    </row>
    <row r="56" spans="1:6" s="94" customFormat="1" ht="16.2">
      <c r="A56" s="102" t="s">
        <v>188</v>
      </c>
      <c r="B56" s="103" t="s">
        <v>144</v>
      </c>
      <c r="C56" s="104" t="s">
        <v>117</v>
      </c>
      <c r="D56" s="137">
        <v>22.23</v>
      </c>
      <c r="E56" s="137"/>
      <c r="F56" s="137">
        <f t="shared" si="9"/>
        <v>0</v>
      </c>
    </row>
    <row r="57" spans="1:6" s="94" customFormat="1" ht="16.2">
      <c r="A57" s="102" t="s">
        <v>189</v>
      </c>
      <c r="B57" s="103" t="s">
        <v>145</v>
      </c>
      <c r="C57" s="104" t="s">
        <v>117</v>
      </c>
      <c r="D57" s="137">
        <v>14.46</v>
      </c>
      <c r="E57" s="137"/>
      <c r="F57" s="137">
        <f t="shared" si="9"/>
        <v>0</v>
      </c>
    </row>
    <row r="58" spans="1:6" s="94" customFormat="1" ht="16.8" thickBot="1">
      <c r="A58" s="102" t="s">
        <v>315</v>
      </c>
      <c r="B58" s="103" t="s">
        <v>175</v>
      </c>
      <c r="C58" s="104" t="s">
        <v>117</v>
      </c>
      <c r="D58" s="137">
        <v>8.3000000000000007</v>
      </c>
      <c r="E58" s="137"/>
      <c r="F58" s="137">
        <f t="shared" si="9"/>
        <v>0</v>
      </c>
    </row>
    <row r="59" spans="1:6" s="15" customFormat="1" ht="15" thickBot="1">
      <c r="A59" s="101" t="s">
        <v>9</v>
      </c>
      <c r="B59" s="88" t="s">
        <v>15</v>
      </c>
      <c r="C59" s="89"/>
      <c r="D59" s="127"/>
      <c r="E59" s="127"/>
      <c r="F59" s="128">
        <f>SUM(F42:F58)</f>
        <v>0</v>
      </c>
    </row>
    <row r="60" spans="1:6" s="15" customFormat="1">
      <c r="A60" s="26" t="s">
        <v>10</v>
      </c>
      <c r="B60" s="91" t="s">
        <v>16</v>
      </c>
      <c r="C60" s="100"/>
      <c r="D60" s="122"/>
      <c r="E60" s="122"/>
      <c r="F60" s="123"/>
    </row>
    <row r="61" spans="1:6" s="94" customFormat="1" ht="48" customHeight="1">
      <c r="A61" s="102" t="s">
        <v>152</v>
      </c>
      <c r="B61" s="103" t="s">
        <v>324</v>
      </c>
      <c r="C61" s="104"/>
      <c r="D61" s="137"/>
      <c r="E61" s="137"/>
      <c r="F61" s="137"/>
    </row>
    <row r="62" spans="1:6" s="94" customFormat="1" ht="16.2">
      <c r="A62" s="102" t="s">
        <v>153</v>
      </c>
      <c r="B62" s="103" t="s">
        <v>159</v>
      </c>
      <c r="C62" s="104" t="s">
        <v>117</v>
      </c>
      <c r="D62" s="137">
        <v>162</v>
      </c>
      <c r="E62" s="137"/>
      <c r="F62" s="137">
        <f>D62*E62</f>
        <v>0</v>
      </c>
    </row>
    <row r="63" spans="1:6" s="94" customFormat="1" ht="16.2">
      <c r="A63" s="102" t="s">
        <v>191</v>
      </c>
      <c r="B63" s="103" t="s">
        <v>331</v>
      </c>
      <c r="C63" s="104" t="s">
        <v>117</v>
      </c>
      <c r="D63" s="137">
        <f>6.62*3.2*2+6.16*3.2*0.98*2-1.5*2*2</f>
        <v>75.003520000000009</v>
      </c>
      <c r="E63" s="137"/>
      <c r="F63" s="137">
        <f>D63*E63</f>
        <v>0</v>
      </c>
    </row>
    <row r="64" spans="1:6" s="94" customFormat="1" ht="16.2">
      <c r="A64" s="102" t="s">
        <v>192</v>
      </c>
      <c r="B64" s="103" t="s">
        <v>332</v>
      </c>
      <c r="C64" s="104" t="s">
        <v>117</v>
      </c>
      <c r="D64" s="137">
        <f>3.97*3.2*2+6.62*3.2*2-2.14*3.2-1.5*2-1.2*3.2</f>
        <v>54.088000000000008</v>
      </c>
      <c r="E64" s="137"/>
      <c r="F64" s="137">
        <f t="shared" ref="F64:F72" si="10">D64*E64</f>
        <v>0</v>
      </c>
    </row>
    <row r="65" spans="1:6" s="94" customFormat="1" ht="16.2">
      <c r="A65" s="102" t="s">
        <v>193</v>
      </c>
      <c r="B65" s="103" t="s">
        <v>131</v>
      </c>
      <c r="C65" s="104" t="s">
        <v>117</v>
      </c>
      <c r="D65" s="137">
        <f>3.43*3.2*2+6.62*3.2*2+2.84*3.2-1.2*3.2-1.23*2-1.5*2</f>
        <v>64.108000000000004</v>
      </c>
      <c r="E65" s="137"/>
      <c r="F65" s="137">
        <f t="shared" si="10"/>
        <v>0</v>
      </c>
    </row>
    <row r="66" spans="1:6" s="94" customFormat="1" ht="16.2">
      <c r="A66" s="102" t="s">
        <v>194</v>
      </c>
      <c r="B66" s="103" t="s">
        <v>132</v>
      </c>
      <c r="C66" s="104" t="s">
        <v>117</v>
      </c>
      <c r="D66" s="137">
        <f>4.79*3.2*2+6.04*3.2*2-1.5*2-2.14*3.2-0.98*2-1.23*2</f>
        <v>55.044000000000011</v>
      </c>
      <c r="E66" s="137"/>
      <c r="F66" s="137">
        <f t="shared" si="10"/>
        <v>0</v>
      </c>
    </row>
    <row r="67" spans="1:6" s="94" customFormat="1" ht="16.2">
      <c r="A67" s="102" t="s">
        <v>195</v>
      </c>
      <c r="B67" s="103" t="s">
        <v>133</v>
      </c>
      <c r="C67" s="104" t="s">
        <v>117</v>
      </c>
      <c r="D67" s="137">
        <f>6.04*3.2*2+3.76*3.2*2 +2.84*3.2-1.23*2-1.5*2</f>
        <v>66.348000000000013</v>
      </c>
      <c r="E67" s="137"/>
      <c r="F67" s="137">
        <f t="shared" si="10"/>
        <v>0</v>
      </c>
    </row>
    <row r="68" spans="1:6" s="94" customFormat="1" ht="16.2">
      <c r="A68" s="102" t="s">
        <v>196</v>
      </c>
      <c r="B68" s="103" t="s">
        <v>134</v>
      </c>
      <c r="C68" s="104" t="s">
        <v>117</v>
      </c>
      <c r="D68" s="137">
        <f>4.2*3.2*2+6.62*3.2*2-1.5*2-1.23*2</f>
        <v>63.788000000000004</v>
      </c>
      <c r="E68" s="137"/>
      <c r="F68" s="137">
        <f t="shared" si="10"/>
        <v>0</v>
      </c>
    </row>
    <row r="69" spans="1:6" s="94" customFormat="1" ht="16.2">
      <c r="A69" s="102" t="s">
        <v>197</v>
      </c>
      <c r="B69" s="103" t="s">
        <v>135</v>
      </c>
      <c r="C69" s="104" t="s">
        <v>117</v>
      </c>
      <c r="D69" s="137">
        <f>3.97*3.2*2+6.04*3.2*2-1.23*2-1.5*2</f>
        <v>58.604000000000006</v>
      </c>
      <c r="E69" s="137"/>
      <c r="F69" s="137">
        <f t="shared" si="10"/>
        <v>0</v>
      </c>
    </row>
    <row r="70" spans="1:6" s="94" customFormat="1" ht="16.2">
      <c r="A70" s="102" t="s">
        <v>198</v>
      </c>
      <c r="B70" s="103" t="s">
        <v>136</v>
      </c>
      <c r="C70" s="104" t="s">
        <v>117</v>
      </c>
      <c r="D70" s="137">
        <f>3.39*3.2*2+4.94*3.2*2-1*2*4</f>
        <v>45.312000000000005</v>
      </c>
      <c r="E70" s="137"/>
      <c r="F70" s="137">
        <f t="shared" si="10"/>
        <v>0</v>
      </c>
    </row>
    <row r="71" spans="1:6" s="94" customFormat="1" ht="16.2">
      <c r="A71" s="102" t="s">
        <v>199</v>
      </c>
      <c r="B71" s="103" t="s">
        <v>137</v>
      </c>
      <c r="C71" s="104" t="s">
        <v>117</v>
      </c>
      <c r="D71" s="137">
        <f>3.28*3.2*2+6.62*3.2*2-1.23*2-1.5*2</f>
        <v>57.9</v>
      </c>
      <c r="E71" s="137"/>
      <c r="F71" s="137">
        <f t="shared" ref="F71" si="11">D71*E71</f>
        <v>0</v>
      </c>
    </row>
    <row r="72" spans="1:6" s="94" customFormat="1" ht="16.2">
      <c r="A72" s="102" t="s">
        <v>200</v>
      </c>
      <c r="B72" s="103" t="s">
        <v>138</v>
      </c>
      <c r="C72" s="104" t="s">
        <v>117</v>
      </c>
      <c r="D72" s="137">
        <f>6*3.2*2+4.26*3.2*2-2.4*3.2-1*2*3</f>
        <v>51.984000000000002</v>
      </c>
      <c r="E72" s="137"/>
      <c r="F72" s="137">
        <f t="shared" si="10"/>
        <v>0</v>
      </c>
    </row>
    <row r="73" spans="1:6" s="94" customFormat="1" ht="16.2">
      <c r="A73" s="102" t="s">
        <v>201</v>
      </c>
      <c r="B73" s="103" t="s">
        <v>316</v>
      </c>
      <c r="C73" s="104" t="s">
        <v>117</v>
      </c>
      <c r="D73" s="137">
        <f>2.36*3.2*2+4.34*3.2*2+1.12*3.2*6-0.98*2-1*2*2</f>
        <v>58.423999999999999</v>
      </c>
      <c r="E73" s="137"/>
      <c r="F73" s="137">
        <f>D73*E73</f>
        <v>0</v>
      </c>
    </row>
    <row r="74" spans="1:6" s="94" customFormat="1" ht="16.2">
      <c r="A74" s="102" t="s">
        <v>202</v>
      </c>
      <c r="B74" s="103" t="s">
        <v>139</v>
      </c>
      <c r="C74" s="104" t="s">
        <v>117</v>
      </c>
      <c r="D74" s="137">
        <f>4.21*3.2*2+2.36*3.2*2-0.98*2-1*2*2</f>
        <v>36.088000000000001</v>
      </c>
      <c r="E74" s="137"/>
      <c r="F74" s="137">
        <f t="shared" ref="F74:F113" si="12">D74*E74</f>
        <v>0</v>
      </c>
    </row>
    <row r="75" spans="1:6" s="94" customFormat="1" ht="16.2">
      <c r="A75" s="102" t="s">
        <v>203</v>
      </c>
      <c r="B75" s="103" t="s">
        <v>140</v>
      </c>
      <c r="C75" s="104" t="s">
        <v>117</v>
      </c>
      <c r="D75" s="137">
        <f>4.34*3*2+3.72*3*2-0.98*2-1*2*3</f>
        <v>40.4</v>
      </c>
      <c r="E75" s="137"/>
      <c r="F75" s="137">
        <f t="shared" si="12"/>
        <v>0</v>
      </c>
    </row>
    <row r="76" spans="1:6" s="94" customFormat="1" ht="16.2">
      <c r="A76" s="102" t="s">
        <v>204</v>
      </c>
      <c r="B76" s="103" t="s">
        <v>141</v>
      </c>
      <c r="C76" s="104" t="s">
        <v>117</v>
      </c>
      <c r="D76" s="137">
        <f>4.34*3.2*2+2.48*3.2*2-1*2*2-0.98*2</f>
        <v>37.687999999999995</v>
      </c>
      <c r="E76" s="137"/>
      <c r="F76" s="137">
        <f t="shared" ref="F76:F83" si="13">D76*E76</f>
        <v>0</v>
      </c>
    </row>
    <row r="77" spans="1:6" s="94" customFormat="1" ht="16.2">
      <c r="A77" s="102" t="s">
        <v>205</v>
      </c>
      <c r="B77" s="103" t="s">
        <v>142</v>
      </c>
      <c r="C77" s="104" t="s">
        <v>117</v>
      </c>
      <c r="D77" s="137">
        <f>3.42*3.2*2+4.34*3.2*2-1.23*2-1*2*3</f>
        <v>41.204000000000001</v>
      </c>
      <c r="E77" s="137"/>
      <c r="F77" s="137">
        <f t="shared" si="13"/>
        <v>0</v>
      </c>
    </row>
    <row r="78" spans="1:6" s="94" customFormat="1" ht="16.2">
      <c r="A78" s="102" t="s">
        <v>206</v>
      </c>
      <c r="B78" s="103" t="s">
        <v>143</v>
      </c>
      <c r="C78" s="104" t="s">
        <v>117</v>
      </c>
      <c r="D78" s="137">
        <f>3.33*3.2*2+3.46*3.2*2-1.5*2-1.23*2-0.83*2</f>
        <v>36.336000000000006</v>
      </c>
      <c r="E78" s="137"/>
      <c r="F78" s="137">
        <f t="shared" si="13"/>
        <v>0</v>
      </c>
    </row>
    <row r="79" spans="1:6" s="94" customFormat="1" ht="16.2">
      <c r="A79" s="102" t="s">
        <v>207</v>
      </c>
      <c r="B79" s="103" t="s">
        <v>144</v>
      </c>
      <c r="C79" s="104" t="s">
        <v>117</v>
      </c>
      <c r="D79" s="137">
        <f>3.45*3.2*3+3.46*3.2*2-0.83*2-1.5*2-0.98*2</f>
        <v>48.644000000000013</v>
      </c>
      <c r="E79" s="137"/>
      <c r="F79" s="137">
        <f t="shared" si="13"/>
        <v>0</v>
      </c>
    </row>
    <row r="80" spans="1:6" s="94" customFormat="1" ht="16.2">
      <c r="A80" s="102" t="s">
        <v>208</v>
      </c>
      <c r="B80" s="103" t="s">
        <v>145</v>
      </c>
      <c r="C80" s="104" t="s">
        <v>117</v>
      </c>
      <c r="D80" s="137">
        <f>3.74*3.2*2+3.52*3.2*2-1*2-1*2*3</f>
        <v>38.464000000000006</v>
      </c>
      <c r="E80" s="137"/>
      <c r="F80" s="137">
        <f t="shared" ref="F80:F81" si="14">D80*E80</f>
        <v>0</v>
      </c>
    </row>
    <row r="81" spans="1:6" s="94" customFormat="1" ht="16.2">
      <c r="A81" s="102" t="s">
        <v>209</v>
      </c>
      <c r="B81" s="103" t="s">
        <v>146</v>
      </c>
      <c r="C81" s="104" t="s">
        <v>117</v>
      </c>
      <c r="D81" s="137">
        <f>4.34*3.2*3+4.84*3.2*4-1.23*2*2-1*2*4-1*2</f>
        <v>88.695999999999998</v>
      </c>
      <c r="E81" s="137"/>
      <c r="F81" s="137">
        <f t="shared" si="14"/>
        <v>0</v>
      </c>
    </row>
    <row r="82" spans="1:6" s="94" customFormat="1" ht="16.2">
      <c r="A82" s="102" t="s">
        <v>210</v>
      </c>
      <c r="B82" s="103" t="s">
        <v>115</v>
      </c>
      <c r="C82" s="104" t="s">
        <v>117</v>
      </c>
      <c r="D82" s="137">
        <f>2.92*3.2+4.46*3.2*2-1*2-1*2</f>
        <v>33.887999999999998</v>
      </c>
      <c r="E82" s="137"/>
      <c r="F82" s="137">
        <f t="shared" si="13"/>
        <v>0</v>
      </c>
    </row>
    <row r="83" spans="1:6" s="94" customFormat="1" ht="16.2">
      <c r="A83" s="102" t="s">
        <v>211</v>
      </c>
      <c r="B83" s="103" t="s">
        <v>147</v>
      </c>
      <c r="C83" s="104" t="s">
        <v>117</v>
      </c>
      <c r="D83" s="137">
        <f>6.62*3.2*2+3.7*3.2*2-1.5*2-0.98*2</f>
        <v>61.088000000000001</v>
      </c>
      <c r="E83" s="137"/>
      <c r="F83" s="137">
        <f t="shared" si="13"/>
        <v>0</v>
      </c>
    </row>
    <row r="84" spans="1:6" s="94" customFormat="1" ht="16.2">
      <c r="A84" s="102" t="s">
        <v>212</v>
      </c>
      <c r="B84" s="103" t="s">
        <v>175</v>
      </c>
      <c r="C84" s="104" t="s">
        <v>117</v>
      </c>
      <c r="D84" s="137">
        <f>4.34*3.2*2+2.19*3.2*2-0.98*2-1*2*2</f>
        <v>35.832000000000001</v>
      </c>
      <c r="E84" s="137"/>
      <c r="F84" s="137">
        <f t="shared" si="12"/>
        <v>0</v>
      </c>
    </row>
    <row r="85" spans="1:6" s="94" customFormat="1" ht="33" customHeight="1">
      <c r="A85" s="102" t="s">
        <v>213</v>
      </c>
      <c r="B85" s="103" t="s">
        <v>322</v>
      </c>
      <c r="C85" s="104"/>
      <c r="D85" s="137"/>
      <c r="E85" s="137"/>
      <c r="F85" s="137"/>
    </row>
    <row r="86" spans="1:6" s="94" customFormat="1" ht="16.2">
      <c r="A86" s="102" t="s">
        <v>216</v>
      </c>
      <c r="B86" s="103" t="s">
        <v>331</v>
      </c>
      <c r="C86" s="104" t="s">
        <v>117</v>
      </c>
      <c r="D86" s="137">
        <v>39.799999999999997</v>
      </c>
      <c r="E86" s="137"/>
      <c r="F86" s="137">
        <f>D86*E86</f>
        <v>0</v>
      </c>
    </row>
    <row r="87" spans="1:6" s="94" customFormat="1" ht="16.2">
      <c r="A87" s="102" t="s">
        <v>217</v>
      </c>
      <c r="B87" s="103" t="s">
        <v>332</v>
      </c>
      <c r="C87" s="104" t="s">
        <v>117</v>
      </c>
      <c r="D87" s="137">
        <v>25.9</v>
      </c>
      <c r="E87" s="137"/>
      <c r="F87" s="137">
        <f t="shared" ref="F87:F95" si="15">D87*E87</f>
        <v>0</v>
      </c>
    </row>
    <row r="88" spans="1:6" s="94" customFormat="1" ht="16.2">
      <c r="A88" s="102" t="s">
        <v>218</v>
      </c>
      <c r="B88" s="103" t="s">
        <v>131</v>
      </c>
      <c r="C88" s="104" t="s">
        <v>117</v>
      </c>
      <c r="D88" s="137">
        <v>22.08</v>
      </c>
      <c r="E88" s="137"/>
      <c r="F88" s="137">
        <f t="shared" si="15"/>
        <v>0</v>
      </c>
    </row>
    <row r="89" spans="1:6" s="94" customFormat="1" ht="16.2">
      <c r="A89" s="102" t="s">
        <v>219</v>
      </c>
      <c r="B89" s="103" t="s">
        <v>132</v>
      </c>
      <c r="C89" s="104" t="s">
        <v>117</v>
      </c>
      <c r="D89" s="137">
        <v>29.8</v>
      </c>
      <c r="E89" s="137"/>
      <c r="F89" s="137">
        <f t="shared" si="15"/>
        <v>0</v>
      </c>
    </row>
    <row r="90" spans="1:6" s="94" customFormat="1" ht="16.2">
      <c r="A90" s="102" t="s">
        <v>220</v>
      </c>
      <c r="B90" s="103" t="s">
        <v>133</v>
      </c>
      <c r="C90" s="104" t="s">
        <v>117</v>
      </c>
      <c r="D90" s="137">
        <v>21.66</v>
      </c>
      <c r="E90" s="137"/>
      <c r="F90" s="137">
        <f t="shared" si="15"/>
        <v>0</v>
      </c>
    </row>
    <row r="91" spans="1:6" s="94" customFormat="1" ht="16.2">
      <c r="A91" s="102" t="s">
        <v>221</v>
      </c>
      <c r="B91" s="103" t="s">
        <v>134</v>
      </c>
      <c r="C91" s="104" t="s">
        <v>117</v>
      </c>
      <c r="D91" s="137">
        <v>27.41</v>
      </c>
      <c r="E91" s="137"/>
      <c r="F91" s="137">
        <f t="shared" si="15"/>
        <v>0</v>
      </c>
    </row>
    <row r="92" spans="1:6" s="94" customFormat="1" ht="16.2">
      <c r="A92" s="102" t="s">
        <v>222</v>
      </c>
      <c r="B92" s="103" t="s">
        <v>135</v>
      </c>
      <c r="C92" s="104" t="s">
        <v>117</v>
      </c>
      <c r="D92" s="137">
        <v>23.95</v>
      </c>
      <c r="E92" s="137"/>
      <c r="F92" s="137">
        <f t="shared" si="15"/>
        <v>0</v>
      </c>
    </row>
    <row r="93" spans="1:6" s="94" customFormat="1" ht="16.2">
      <c r="A93" s="102" t="s">
        <v>223</v>
      </c>
      <c r="B93" s="103" t="s">
        <v>136</v>
      </c>
      <c r="C93" s="104" t="s">
        <v>117</v>
      </c>
      <c r="D93" s="137">
        <v>18.559999999999999</v>
      </c>
      <c r="E93" s="137"/>
      <c r="F93" s="137">
        <f t="shared" si="15"/>
        <v>0</v>
      </c>
    </row>
    <row r="94" spans="1:6" s="94" customFormat="1" ht="16.2">
      <c r="A94" s="102" t="s">
        <v>224</v>
      </c>
      <c r="B94" s="103" t="s">
        <v>137</v>
      </c>
      <c r="C94" s="104" t="s">
        <v>117</v>
      </c>
      <c r="D94" s="137">
        <v>21.15</v>
      </c>
      <c r="E94" s="137"/>
      <c r="F94" s="137">
        <f t="shared" si="15"/>
        <v>0</v>
      </c>
    </row>
    <row r="95" spans="1:6" s="94" customFormat="1" ht="16.2">
      <c r="A95" s="102" t="s">
        <v>225</v>
      </c>
      <c r="B95" s="103" t="s">
        <v>138</v>
      </c>
      <c r="C95" s="104" t="s">
        <v>117</v>
      </c>
      <c r="D95" s="137">
        <v>25.8</v>
      </c>
      <c r="E95" s="137"/>
      <c r="F95" s="137">
        <f t="shared" si="15"/>
        <v>0</v>
      </c>
    </row>
    <row r="96" spans="1:6" s="94" customFormat="1" ht="16.2">
      <c r="A96" s="102" t="s">
        <v>226</v>
      </c>
      <c r="B96" s="103" t="s">
        <v>316</v>
      </c>
      <c r="C96" s="104" t="s">
        <v>117</v>
      </c>
      <c r="D96" s="137">
        <v>10.5</v>
      </c>
      <c r="E96" s="137"/>
      <c r="F96" s="137">
        <f>D96*E96</f>
        <v>0</v>
      </c>
    </row>
    <row r="97" spans="1:6" s="94" customFormat="1" ht="16.2">
      <c r="A97" s="102" t="s">
        <v>227</v>
      </c>
      <c r="B97" s="103" t="s">
        <v>139</v>
      </c>
      <c r="C97" s="104" t="s">
        <v>117</v>
      </c>
      <c r="D97" s="137">
        <v>9.93</v>
      </c>
      <c r="E97" s="137"/>
      <c r="F97" s="137">
        <f t="shared" ref="F97:F107" si="16">D97*E97</f>
        <v>0</v>
      </c>
    </row>
    <row r="98" spans="1:6" s="94" customFormat="1" ht="16.2">
      <c r="A98" s="102" t="s">
        <v>228</v>
      </c>
      <c r="B98" s="103" t="s">
        <v>140</v>
      </c>
      <c r="C98" s="104" t="s">
        <v>117</v>
      </c>
      <c r="D98" s="137">
        <v>13.3</v>
      </c>
      <c r="E98" s="137"/>
      <c r="F98" s="137">
        <f t="shared" si="16"/>
        <v>0</v>
      </c>
    </row>
    <row r="99" spans="1:6" s="94" customFormat="1" ht="16.2">
      <c r="A99" s="102" t="s">
        <v>229</v>
      </c>
      <c r="B99" s="103" t="s">
        <v>141</v>
      </c>
      <c r="C99" s="104" t="s">
        <v>117</v>
      </c>
      <c r="D99" s="137">
        <v>10.74</v>
      </c>
      <c r="E99" s="137"/>
      <c r="F99" s="137">
        <f t="shared" si="16"/>
        <v>0</v>
      </c>
    </row>
    <row r="100" spans="1:6" s="94" customFormat="1" ht="16.2">
      <c r="A100" s="102" t="s">
        <v>230</v>
      </c>
      <c r="B100" s="103" t="s">
        <v>142</v>
      </c>
      <c r="C100" s="104" t="s">
        <v>117</v>
      </c>
      <c r="D100" s="137">
        <v>14.38</v>
      </c>
      <c r="E100" s="137"/>
      <c r="F100" s="137">
        <f t="shared" si="16"/>
        <v>0</v>
      </c>
    </row>
    <row r="101" spans="1:6" s="94" customFormat="1" ht="16.2">
      <c r="A101" s="102" t="s">
        <v>231</v>
      </c>
      <c r="B101" s="103" t="s">
        <v>143</v>
      </c>
      <c r="C101" s="104" t="s">
        <v>117</v>
      </c>
      <c r="D101" s="137">
        <v>11.52</v>
      </c>
      <c r="E101" s="137"/>
      <c r="F101" s="137">
        <f t="shared" si="16"/>
        <v>0</v>
      </c>
    </row>
    <row r="102" spans="1:6" s="94" customFormat="1" ht="16.2">
      <c r="A102" s="102" t="s">
        <v>232</v>
      </c>
      <c r="B102" s="103" t="s">
        <v>144</v>
      </c>
      <c r="C102" s="104" t="s">
        <v>117</v>
      </c>
      <c r="D102" s="137">
        <v>22.23</v>
      </c>
      <c r="E102" s="137"/>
      <c r="F102" s="137">
        <f t="shared" si="16"/>
        <v>0</v>
      </c>
    </row>
    <row r="103" spans="1:6" s="94" customFormat="1" ht="16.2">
      <c r="A103" s="102" t="s">
        <v>233</v>
      </c>
      <c r="B103" s="103" t="s">
        <v>145</v>
      </c>
      <c r="C103" s="104" t="s">
        <v>117</v>
      </c>
      <c r="D103" s="137">
        <v>14.46</v>
      </c>
      <c r="E103" s="137"/>
      <c r="F103" s="137">
        <f t="shared" si="16"/>
        <v>0</v>
      </c>
    </row>
    <row r="104" spans="1:6" s="94" customFormat="1" ht="16.2">
      <c r="A104" s="102" t="s">
        <v>234</v>
      </c>
      <c r="B104" s="103" t="s">
        <v>146</v>
      </c>
      <c r="C104" s="104" t="s">
        <v>117</v>
      </c>
      <c r="D104" s="137">
        <v>18.27</v>
      </c>
      <c r="E104" s="137"/>
      <c r="F104" s="137">
        <f t="shared" si="16"/>
        <v>0</v>
      </c>
    </row>
    <row r="105" spans="1:6" s="94" customFormat="1" ht="16.2">
      <c r="A105" s="102" t="s">
        <v>235</v>
      </c>
      <c r="B105" s="103" t="s">
        <v>115</v>
      </c>
      <c r="C105" s="104" t="s">
        <v>117</v>
      </c>
      <c r="D105" s="137">
        <v>13.15</v>
      </c>
      <c r="E105" s="137"/>
      <c r="F105" s="137">
        <f t="shared" si="16"/>
        <v>0</v>
      </c>
    </row>
    <row r="106" spans="1:6" s="94" customFormat="1" ht="16.2">
      <c r="A106" s="102" t="s">
        <v>236</v>
      </c>
      <c r="B106" s="103" t="s">
        <v>147</v>
      </c>
      <c r="C106" s="104" t="s">
        <v>117</v>
      </c>
      <c r="D106" s="137">
        <v>24.5</v>
      </c>
      <c r="E106" s="137"/>
      <c r="F106" s="137">
        <f t="shared" si="16"/>
        <v>0</v>
      </c>
    </row>
    <row r="107" spans="1:6" s="94" customFormat="1" ht="16.2">
      <c r="A107" s="102" t="s">
        <v>237</v>
      </c>
      <c r="B107" s="103" t="s">
        <v>175</v>
      </c>
      <c r="C107" s="104" t="s">
        <v>117</v>
      </c>
      <c r="D107" s="137">
        <v>8.3000000000000007</v>
      </c>
      <c r="E107" s="137"/>
      <c r="F107" s="137">
        <f t="shared" si="16"/>
        <v>0</v>
      </c>
    </row>
    <row r="108" spans="1:6" s="94" customFormat="1" ht="33" customHeight="1">
      <c r="A108" s="102" t="s">
        <v>214</v>
      </c>
      <c r="B108" s="103" t="s">
        <v>323</v>
      </c>
      <c r="C108" s="104"/>
      <c r="D108" s="137"/>
      <c r="E108" s="137"/>
      <c r="F108" s="137"/>
    </row>
    <row r="109" spans="1:6" s="94" customFormat="1" ht="16.2">
      <c r="A109" s="102" t="s">
        <v>215</v>
      </c>
      <c r="B109" s="103" t="s">
        <v>159</v>
      </c>
      <c r="C109" s="104" t="s">
        <v>117</v>
      </c>
      <c r="D109" s="137">
        <v>103.8</v>
      </c>
      <c r="E109" s="137"/>
      <c r="F109" s="137">
        <f>D109*E109</f>
        <v>0</v>
      </c>
    </row>
    <row r="110" spans="1:6" s="94" customFormat="1" ht="30" customHeight="1">
      <c r="A110" s="145" t="s">
        <v>317</v>
      </c>
      <c r="B110" s="103" t="s">
        <v>325</v>
      </c>
      <c r="C110" s="104"/>
      <c r="D110" s="137"/>
      <c r="E110" s="137"/>
      <c r="F110" s="137"/>
    </row>
    <row r="111" spans="1:6" s="94" customFormat="1" ht="16.2">
      <c r="A111" s="102" t="s">
        <v>318</v>
      </c>
      <c r="B111" s="103" t="s">
        <v>320</v>
      </c>
      <c r="C111" s="104" t="s">
        <v>117</v>
      </c>
      <c r="D111" s="137">
        <f>2.4*3.2</f>
        <v>7.68</v>
      </c>
      <c r="E111" s="137"/>
      <c r="F111" s="137">
        <f t="shared" ref="F111" si="17">D111*E111</f>
        <v>0</v>
      </c>
    </row>
    <row r="112" spans="1:6" s="94" customFormat="1" ht="16.2">
      <c r="A112" s="102" t="s">
        <v>319</v>
      </c>
      <c r="B112" s="103" t="s">
        <v>129</v>
      </c>
      <c r="C112" s="104" t="s">
        <v>117</v>
      </c>
      <c r="D112" s="137">
        <f>2.4*3.2</f>
        <v>7.68</v>
      </c>
      <c r="E112" s="137"/>
      <c r="F112" s="137">
        <f t="shared" si="12"/>
        <v>0</v>
      </c>
    </row>
    <row r="113" spans="1:26" s="94" customFormat="1" ht="16.8" thickBot="1">
      <c r="A113" s="102" t="s">
        <v>321</v>
      </c>
      <c r="B113" s="103" t="s">
        <v>130</v>
      </c>
      <c r="C113" s="104" t="s">
        <v>117</v>
      </c>
      <c r="D113" s="137">
        <f>2.4*3.2*2</f>
        <v>15.36</v>
      </c>
      <c r="E113" s="137"/>
      <c r="F113" s="137">
        <f t="shared" si="12"/>
        <v>0</v>
      </c>
    </row>
    <row r="114" spans="1:26" s="15" customFormat="1" ht="15" thickBot="1">
      <c r="A114" s="101" t="s">
        <v>10</v>
      </c>
      <c r="B114" s="88" t="s">
        <v>17</v>
      </c>
      <c r="C114" s="89"/>
      <c r="D114" s="127"/>
      <c r="E114" s="127"/>
      <c r="F114" s="128">
        <f>SUM(F61:F113)</f>
        <v>0</v>
      </c>
    </row>
    <row r="115" spans="1:26" s="94" customFormat="1">
      <c r="A115" s="26" t="s">
        <v>11</v>
      </c>
      <c r="B115" s="91" t="s">
        <v>124</v>
      </c>
      <c r="C115" s="100"/>
      <c r="D115" s="122"/>
      <c r="E115" s="122"/>
      <c r="F115" s="123"/>
    </row>
    <row r="116" spans="1:26" s="94" customFormat="1" ht="28.8">
      <c r="A116" s="102" t="s">
        <v>50</v>
      </c>
      <c r="B116" s="103" t="s">
        <v>125</v>
      </c>
      <c r="C116" s="104"/>
      <c r="D116" s="137"/>
      <c r="E116" s="137"/>
      <c r="F116" s="137"/>
    </row>
    <row r="117" spans="1:26" s="94" customFormat="1" ht="16.2">
      <c r="A117" s="102" t="s">
        <v>51</v>
      </c>
      <c r="B117" s="103" t="s">
        <v>129</v>
      </c>
      <c r="C117" s="104" t="s">
        <v>117</v>
      </c>
      <c r="D117" s="137">
        <v>4</v>
      </c>
      <c r="E117" s="137"/>
      <c r="F117" s="137">
        <f>D117*E117</f>
        <v>0</v>
      </c>
    </row>
    <row r="118" spans="1:26" s="94" customFormat="1" ht="16.8" thickBot="1">
      <c r="A118" s="102" t="s">
        <v>154</v>
      </c>
      <c r="B118" s="103" t="s">
        <v>130</v>
      </c>
      <c r="C118" s="104" t="s">
        <v>117</v>
      </c>
      <c r="D118" s="137">
        <v>6</v>
      </c>
      <c r="E118" s="137"/>
      <c r="F118" s="137">
        <f>D118*E118</f>
        <v>0</v>
      </c>
    </row>
    <row r="119" spans="1:26" s="15" customFormat="1" ht="15" thickBot="1">
      <c r="A119" s="101" t="s">
        <v>11</v>
      </c>
      <c r="B119" s="88" t="s">
        <v>367</v>
      </c>
      <c r="C119" s="89"/>
      <c r="D119" s="127"/>
      <c r="E119" s="127"/>
      <c r="F119" s="128">
        <f>SUM(F117:F118)</f>
        <v>0</v>
      </c>
    </row>
    <row r="120" spans="1:26" ht="15.6">
      <c r="A120" s="26" t="s">
        <v>58</v>
      </c>
      <c r="B120" s="87" t="s">
        <v>52</v>
      </c>
      <c r="C120" s="65"/>
      <c r="D120" s="67"/>
      <c r="E120" s="68"/>
      <c r="F120" s="70"/>
    </row>
    <row r="121" spans="1:26" s="81" customFormat="1" ht="48" customHeight="1">
      <c r="A121" s="102"/>
      <c r="B121" s="103" t="s">
        <v>112</v>
      </c>
      <c r="C121" s="104"/>
      <c r="D121" s="137"/>
      <c r="E121" s="137"/>
      <c r="F121" s="137"/>
      <c r="G121" s="82"/>
      <c r="H121" s="83"/>
      <c r="I121" s="83"/>
      <c r="J121" s="83"/>
      <c r="K121" s="83"/>
      <c r="L121" s="83"/>
      <c r="M121" s="83"/>
      <c r="N121" s="83"/>
      <c r="O121" s="83"/>
      <c r="P121" s="83"/>
      <c r="Q121" s="83"/>
      <c r="R121" s="83"/>
      <c r="S121" s="83"/>
      <c r="T121" s="83"/>
      <c r="U121" s="83"/>
      <c r="V121" s="83"/>
      <c r="W121" s="83"/>
      <c r="X121" s="83"/>
      <c r="Y121" s="83"/>
      <c r="Z121" s="83"/>
    </row>
    <row r="122" spans="1:26" customFormat="1" ht="15.75" customHeight="1">
      <c r="A122" s="141" t="s">
        <v>356</v>
      </c>
      <c r="B122" s="142" t="s">
        <v>355</v>
      </c>
      <c r="C122" s="140"/>
      <c r="D122" s="124"/>
      <c r="E122" s="126"/>
      <c r="F122" s="126"/>
      <c r="G122" s="90"/>
      <c r="H122" s="90"/>
      <c r="I122" s="90"/>
      <c r="J122" s="90"/>
      <c r="K122" s="90"/>
      <c r="L122" s="90"/>
      <c r="M122" s="90"/>
      <c r="N122" s="90"/>
      <c r="O122" s="90"/>
      <c r="P122" s="90"/>
      <c r="Q122" s="90"/>
      <c r="R122" s="90"/>
      <c r="S122" s="90"/>
      <c r="T122" s="90"/>
      <c r="U122" s="90"/>
      <c r="V122" s="90"/>
      <c r="W122" s="90"/>
      <c r="X122" s="90"/>
      <c r="Y122" s="90"/>
      <c r="Z122" s="90"/>
    </row>
    <row r="123" spans="1:26" customFormat="1" ht="33" customHeight="1">
      <c r="A123" s="143" t="s">
        <v>357</v>
      </c>
      <c r="B123" s="93" t="s">
        <v>358</v>
      </c>
      <c r="C123" s="140"/>
      <c r="D123" s="124"/>
      <c r="E123" s="126"/>
      <c r="F123" s="126"/>
      <c r="G123" s="90"/>
      <c r="H123" s="90"/>
      <c r="I123" s="90"/>
      <c r="J123" s="90"/>
      <c r="K123" s="90"/>
      <c r="L123" s="90"/>
      <c r="M123" s="90"/>
      <c r="N123" s="90"/>
      <c r="O123" s="90"/>
      <c r="P123" s="90"/>
      <c r="Q123" s="90"/>
      <c r="R123" s="90"/>
      <c r="S123" s="90"/>
      <c r="T123" s="90"/>
      <c r="U123" s="90"/>
      <c r="V123" s="90"/>
      <c r="W123" s="90"/>
      <c r="X123" s="90"/>
      <c r="Y123" s="90"/>
      <c r="Z123" s="90"/>
    </row>
    <row r="124" spans="1:26" customFormat="1" ht="15.75" customHeight="1">
      <c r="A124" s="143"/>
      <c r="B124" s="93" t="s">
        <v>366</v>
      </c>
      <c r="C124" s="140"/>
      <c r="D124" s="124"/>
      <c r="E124" s="126"/>
      <c r="F124" s="126"/>
      <c r="G124" s="105"/>
      <c r="H124" s="90"/>
      <c r="I124" s="90"/>
      <c r="J124" s="90"/>
      <c r="K124" s="90"/>
      <c r="L124" s="90"/>
      <c r="M124" s="90"/>
      <c r="N124" s="90"/>
      <c r="O124" s="90"/>
      <c r="P124" s="90"/>
      <c r="Q124" s="90"/>
      <c r="R124" s="90"/>
      <c r="S124" s="90"/>
      <c r="T124" s="90"/>
      <c r="U124" s="90"/>
      <c r="V124" s="90"/>
      <c r="W124" s="90"/>
      <c r="X124" s="90"/>
      <c r="Y124" s="90"/>
      <c r="Z124" s="90"/>
    </row>
    <row r="125" spans="1:26" customFormat="1" ht="15.75" customHeight="1">
      <c r="A125" s="143"/>
      <c r="B125" s="93" t="s">
        <v>359</v>
      </c>
      <c r="C125" s="140"/>
      <c r="D125" s="124"/>
      <c r="E125" s="126"/>
      <c r="F125" s="126"/>
      <c r="G125" s="90"/>
      <c r="H125" s="90"/>
      <c r="I125" s="90"/>
      <c r="J125" s="90"/>
      <c r="K125" s="90"/>
      <c r="L125" s="90"/>
      <c r="M125" s="90"/>
      <c r="N125" s="90"/>
      <c r="O125" s="90"/>
      <c r="P125" s="90"/>
      <c r="Q125" s="90"/>
      <c r="R125" s="90"/>
      <c r="S125" s="90"/>
      <c r="T125" s="90"/>
      <c r="U125" s="90"/>
      <c r="V125" s="90"/>
      <c r="W125" s="90"/>
      <c r="X125" s="90"/>
      <c r="Y125" s="90"/>
      <c r="Z125" s="90"/>
    </row>
    <row r="126" spans="1:26" customFormat="1" ht="15.75" customHeight="1">
      <c r="A126" s="143"/>
      <c r="B126" s="93" t="s">
        <v>360</v>
      </c>
      <c r="C126" s="140"/>
      <c r="D126" s="124"/>
      <c r="E126" s="126"/>
      <c r="F126" s="126"/>
      <c r="G126" s="105"/>
      <c r="H126" s="90"/>
      <c r="I126" s="90"/>
      <c r="J126" s="90"/>
      <c r="K126" s="90"/>
      <c r="L126" s="90"/>
      <c r="M126" s="90"/>
      <c r="N126" s="90"/>
      <c r="O126" s="90"/>
      <c r="P126" s="90"/>
      <c r="Q126" s="90"/>
      <c r="R126" s="90"/>
      <c r="S126" s="90"/>
      <c r="T126" s="90"/>
      <c r="U126" s="90"/>
      <c r="V126" s="90"/>
      <c r="W126" s="90"/>
      <c r="X126" s="90"/>
      <c r="Y126" s="90"/>
      <c r="Z126" s="90"/>
    </row>
    <row r="127" spans="1:26" customFormat="1" ht="15.75" customHeight="1">
      <c r="A127" s="143"/>
      <c r="B127" s="93" t="s">
        <v>361</v>
      </c>
      <c r="C127" s="140"/>
      <c r="D127" s="124"/>
      <c r="E127" s="126"/>
      <c r="F127" s="126"/>
      <c r="G127" s="90"/>
      <c r="H127" s="90"/>
      <c r="I127" s="90"/>
      <c r="J127" s="90"/>
      <c r="K127" s="90"/>
      <c r="L127" s="90"/>
      <c r="M127" s="90"/>
      <c r="N127" s="90"/>
      <c r="O127" s="90"/>
      <c r="P127" s="90"/>
      <c r="Q127" s="90"/>
      <c r="R127" s="90"/>
      <c r="S127" s="90"/>
      <c r="T127" s="90"/>
      <c r="U127" s="90"/>
      <c r="V127" s="90"/>
      <c r="W127" s="90"/>
      <c r="X127" s="90"/>
      <c r="Y127" s="90"/>
      <c r="Z127" s="90"/>
    </row>
    <row r="128" spans="1:26" customFormat="1" ht="15.75" customHeight="1">
      <c r="A128" s="143"/>
      <c r="B128" s="93" t="s">
        <v>362</v>
      </c>
      <c r="C128" s="140"/>
      <c r="D128" s="124"/>
      <c r="E128" s="126"/>
      <c r="F128" s="126"/>
      <c r="G128" s="90"/>
      <c r="H128" s="90"/>
      <c r="I128" s="90"/>
      <c r="J128" s="90"/>
      <c r="K128" s="90"/>
      <c r="L128" s="90"/>
      <c r="M128" s="90"/>
      <c r="N128" s="90"/>
      <c r="O128" s="90"/>
      <c r="P128" s="90"/>
      <c r="Q128" s="90"/>
      <c r="R128" s="90"/>
      <c r="S128" s="90"/>
      <c r="T128" s="90"/>
      <c r="U128" s="90"/>
      <c r="V128" s="90"/>
      <c r="W128" s="90"/>
      <c r="X128" s="90"/>
      <c r="Y128" s="90"/>
      <c r="Z128" s="90"/>
    </row>
    <row r="129" spans="1:26" customFormat="1" ht="15.75" customHeight="1">
      <c r="A129" s="143"/>
      <c r="B129" s="93" t="s">
        <v>363</v>
      </c>
      <c r="C129" s="140"/>
      <c r="D129" s="124"/>
      <c r="E129" s="126"/>
      <c r="F129" s="126"/>
      <c r="G129" s="105"/>
      <c r="H129" s="90"/>
      <c r="I129" s="90"/>
      <c r="J129" s="90"/>
      <c r="K129" s="90"/>
      <c r="L129" s="90"/>
      <c r="M129" s="90"/>
      <c r="N129" s="90"/>
      <c r="O129" s="90"/>
      <c r="P129" s="90"/>
      <c r="Q129" s="90"/>
      <c r="R129" s="90"/>
      <c r="S129" s="90"/>
      <c r="T129" s="90"/>
      <c r="U129" s="90"/>
      <c r="V129" s="90"/>
      <c r="W129" s="90"/>
      <c r="X129" s="90"/>
      <c r="Y129" s="90"/>
      <c r="Z129" s="90"/>
    </row>
    <row r="130" spans="1:26" customFormat="1" ht="15.75" customHeight="1">
      <c r="A130" s="143"/>
      <c r="B130" s="93" t="s">
        <v>364</v>
      </c>
      <c r="C130" s="140"/>
      <c r="D130" s="124"/>
      <c r="E130" s="126"/>
      <c r="F130" s="126"/>
      <c r="G130" s="90"/>
      <c r="H130" s="90"/>
      <c r="I130" s="90"/>
      <c r="J130" s="90"/>
      <c r="K130" s="90"/>
      <c r="L130" s="90"/>
      <c r="M130" s="90"/>
      <c r="N130" s="90"/>
      <c r="O130" s="90"/>
      <c r="P130" s="90"/>
      <c r="Q130" s="90"/>
      <c r="R130" s="90"/>
      <c r="S130" s="90"/>
      <c r="T130" s="90"/>
      <c r="U130" s="90"/>
      <c r="V130" s="90"/>
      <c r="W130" s="90"/>
      <c r="X130" s="90"/>
      <c r="Y130" s="90"/>
      <c r="Z130" s="90"/>
    </row>
    <row r="131" spans="1:26" customFormat="1" ht="15.75" customHeight="1">
      <c r="A131" s="143"/>
      <c r="B131" s="93" t="s">
        <v>365</v>
      </c>
      <c r="C131" s="140"/>
      <c r="D131" s="124"/>
      <c r="E131" s="126"/>
      <c r="F131" s="126"/>
      <c r="G131" s="90"/>
      <c r="H131" s="90"/>
      <c r="I131" s="90"/>
      <c r="J131" s="90"/>
      <c r="K131" s="90"/>
      <c r="L131" s="90"/>
      <c r="M131" s="90"/>
      <c r="N131" s="90"/>
      <c r="O131" s="90"/>
      <c r="P131" s="90"/>
      <c r="Q131" s="90"/>
      <c r="R131" s="90"/>
      <c r="S131" s="90"/>
      <c r="T131" s="90"/>
      <c r="U131" s="90"/>
      <c r="V131" s="90"/>
      <c r="W131" s="90"/>
      <c r="X131" s="90"/>
      <c r="Y131" s="90"/>
      <c r="Z131" s="90"/>
    </row>
    <row r="132" spans="1:26" customFormat="1" ht="15.75" customHeight="1">
      <c r="A132" s="143"/>
      <c r="B132" s="93" t="s">
        <v>148</v>
      </c>
      <c r="C132" s="140" t="s">
        <v>13</v>
      </c>
      <c r="D132" s="124">
        <v>1</v>
      </c>
      <c r="E132" s="126"/>
      <c r="F132" s="126">
        <f>D132*E132</f>
        <v>0</v>
      </c>
      <c r="G132" s="90"/>
      <c r="H132" s="90"/>
      <c r="I132" s="90"/>
      <c r="J132" s="90"/>
      <c r="K132" s="90"/>
      <c r="L132" s="90"/>
      <c r="M132" s="90"/>
      <c r="N132" s="90"/>
      <c r="O132" s="90"/>
      <c r="P132" s="90"/>
      <c r="Q132" s="90"/>
      <c r="R132" s="90"/>
      <c r="S132" s="90"/>
      <c r="T132" s="90"/>
      <c r="U132" s="90"/>
      <c r="V132" s="90"/>
      <c r="W132" s="90"/>
      <c r="X132" s="90"/>
      <c r="Y132" s="90"/>
      <c r="Z132" s="90"/>
    </row>
    <row r="133" spans="1:26" s="81" customFormat="1" ht="15.75" customHeight="1">
      <c r="A133" s="145">
        <v>6.2</v>
      </c>
      <c r="B133" s="144" t="s">
        <v>61</v>
      </c>
      <c r="C133" s="104"/>
      <c r="D133" s="137"/>
      <c r="E133" s="137"/>
      <c r="F133" s="137"/>
      <c r="G133" s="84"/>
      <c r="H133" s="83"/>
      <c r="I133" s="83"/>
      <c r="J133" s="83"/>
      <c r="K133" s="83"/>
      <c r="L133" s="83"/>
      <c r="M133" s="83"/>
      <c r="N133" s="83"/>
      <c r="O133" s="83"/>
      <c r="P133" s="83"/>
      <c r="Q133" s="83"/>
      <c r="R133" s="83"/>
      <c r="S133" s="83"/>
      <c r="T133" s="83"/>
      <c r="U133" s="83"/>
      <c r="V133" s="83"/>
      <c r="W133" s="83"/>
      <c r="X133" s="83"/>
      <c r="Y133" s="83"/>
      <c r="Z133" s="83"/>
    </row>
    <row r="134" spans="1:26" s="81" customFormat="1" ht="49.95" customHeight="1">
      <c r="A134" s="102"/>
      <c r="B134" s="103" t="s">
        <v>113</v>
      </c>
      <c r="C134" s="104"/>
      <c r="D134" s="137"/>
      <c r="E134" s="137"/>
      <c r="F134" s="137"/>
      <c r="G134" s="84"/>
      <c r="H134" s="83"/>
      <c r="I134" s="83"/>
      <c r="J134" s="83"/>
      <c r="K134" s="83"/>
      <c r="L134" s="83"/>
      <c r="M134" s="83"/>
      <c r="N134" s="83"/>
      <c r="O134" s="83"/>
      <c r="P134" s="83"/>
      <c r="Q134" s="83"/>
      <c r="R134" s="83"/>
      <c r="S134" s="83"/>
      <c r="T134" s="83"/>
      <c r="U134" s="83"/>
      <c r="V134" s="83"/>
      <c r="W134" s="83"/>
      <c r="X134" s="83"/>
      <c r="Y134" s="83"/>
      <c r="Z134" s="83"/>
    </row>
    <row r="135" spans="1:26" s="94" customFormat="1">
      <c r="A135" s="102" t="s">
        <v>238</v>
      </c>
      <c r="B135" s="103" t="s">
        <v>331</v>
      </c>
      <c r="C135" s="104" t="s">
        <v>13</v>
      </c>
      <c r="D135" s="137">
        <v>40</v>
      </c>
      <c r="E135" s="126"/>
      <c r="F135" s="137">
        <f>D135*E135</f>
        <v>0</v>
      </c>
    </row>
    <row r="136" spans="1:26" s="94" customFormat="1">
      <c r="A136" s="102" t="s">
        <v>239</v>
      </c>
      <c r="B136" s="103" t="s">
        <v>332</v>
      </c>
      <c r="C136" s="104" t="s">
        <v>13</v>
      </c>
      <c r="D136" s="137">
        <v>20</v>
      </c>
      <c r="E136" s="126"/>
      <c r="F136" s="137">
        <f t="shared" ref="F136:F144" si="18">D136*E136</f>
        <v>0</v>
      </c>
    </row>
    <row r="137" spans="1:26" s="94" customFormat="1">
      <c r="A137" s="102" t="s">
        <v>240</v>
      </c>
      <c r="B137" s="103" t="s">
        <v>131</v>
      </c>
      <c r="C137" s="104" t="s">
        <v>13</v>
      </c>
      <c r="D137" s="137">
        <v>30</v>
      </c>
      <c r="E137" s="126"/>
      <c r="F137" s="137">
        <f t="shared" si="18"/>
        <v>0</v>
      </c>
    </row>
    <row r="138" spans="1:26" s="94" customFormat="1">
      <c r="A138" s="102" t="s">
        <v>241</v>
      </c>
      <c r="B138" s="103" t="s">
        <v>132</v>
      </c>
      <c r="C138" s="104" t="s">
        <v>13</v>
      </c>
      <c r="D138" s="137">
        <v>20</v>
      </c>
      <c r="E138" s="126"/>
      <c r="F138" s="137">
        <f t="shared" si="18"/>
        <v>0</v>
      </c>
    </row>
    <row r="139" spans="1:26" s="94" customFormat="1">
      <c r="A139" s="102" t="s">
        <v>242</v>
      </c>
      <c r="B139" s="103" t="s">
        <v>133</v>
      </c>
      <c r="C139" s="104" t="s">
        <v>13</v>
      </c>
      <c r="D139" s="137">
        <v>20</v>
      </c>
      <c r="E139" s="126"/>
      <c r="F139" s="137">
        <f t="shared" si="18"/>
        <v>0</v>
      </c>
    </row>
    <row r="140" spans="1:26" s="94" customFormat="1">
      <c r="A140" s="102" t="s">
        <v>243</v>
      </c>
      <c r="B140" s="103" t="s">
        <v>134</v>
      </c>
      <c r="C140" s="21" t="s">
        <v>13</v>
      </c>
      <c r="D140" s="137">
        <v>35</v>
      </c>
      <c r="E140" s="126"/>
      <c r="F140" s="137">
        <f t="shared" si="18"/>
        <v>0</v>
      </c>
    </row>
    <row r="141" spans="1:26" s="94" customFormat="1">
      <c r="A141" s="102" t="s">
        <v>244</v>
      </c>
      <c r="B141" s="103" t="s">
        <v>135</v>
      </c>
      <c r="C141" s="21" t="s">
        <v>13</v>
      </c>
      <c r="D141" s="137">
        <v>20</v>
      </c>
      <c r="E141" s="126"/>
      <c r="F141" s="137">
        <f t="shared" si="18"/>
        <v>0</v>
      </c>
    </row>
    <row r="142" spans="1:26" s="94" customFormat="1">
      <c r="A142" s="102" t="s">
        <v>245</v>
      </c>
      <c r="B142" s="103" t="s">
        <v>136</v>
      </c>
      <c r="C142" s="21" t="s">
        <v>13</v>
      </c>
      <c r="D142" s="137">
        <v>8</v>
      </c>
      <c r="E142" s="126"/>
      <c r="F142" s="137">
        <f t="shared" si="18"/>
        <v>0</v>
      </c>
    </row>
    <row r="143" spans="1:26" s="94" customFormat="1">
      <c r="A143" s="102" t="s">
        <v>246</v>
      </c>
      <c r="B143" s="103" t="s">
        <v>137</v>
      </c>
      <c r="C143" s="21" t="s">
        <v>13</v>
      </c>
      <c r="D143" s="137">
        <v>16</v>
      </c>
      <c r="E143" s="126"/>
      <c r="F143" s="137">
        <f t="shared" ref="F143" si="19">D143*E143</f>
        <v>0</v>
      </c>
    </row>
    <row r="144" spans="1:26" s="94" customFormat="1">
      <c r="A144" s="102" t="s">
        <v>247</v>
      </c>
      <c r="B144" s="103" t="s">
        <v>138</v>
      </c>
      <c r="C144" s="21" t="s">
        <v>13</v>
      </c>
      <c r="D144" s="137">
        <v>4</v>
      </c>
      <c r="E144" s="126"/>
      <c r="F144" s="137">
        <f t="shared" si="18"/>
        <v>0</v>
      </c>
    </row>
    <row r="145" spans="1:26" s="94" customFormat="1">
      <c r="A145" s="102" t="s">
        <v>248</v>
      </c>
      <c r="B145" s="103" t="s">
        <v>139</v>
      </c>
      <c r="C145" s="21" t="s">
        <v>13</v>
      </c>
      <c r="D145" s="137">
        <v>4</v>
      </c>
      <c r="E145" s="126"/>
      <c r="F145" s="137">
        <f t="shared" ref="F145:F152" si="20">D145*E145</f>
        <v>0</v>
      </c>
    </row>
    <row r="146" spans="1:26" s="94" customFormat="1">
      <c r="A146" s="102" t="s">
        <v>249</v>
      </c>
      <c r="B146" s="103" t="s">
        <v>140</v>
      </c>
      <c r="C146" s="21" t="s">
        <v>13</v>
      </c>
      <c r="D146" s="137">
        <v>1</v>
      </c>
      <c r="E146" s="126"/>
      <c r="F146" s="137">
        <f t="shared" si="20"/>
        <v>0</v>
      </c>
    </row>
    <row r="147" spans="1:26" s="94" customFormat="1">
      <c r="A147" s="102" t="s">
        <v>250</v>
      </c>
      <c r="B147" s="103" t="s">
        <v>141</v>
      </c>
      <c r="C147" s="21" t="s">
        <v>13</v>
      </c>
      <c r="D147" s="137">
        <v>4</v>
      </c>
      <c r="E147" s="126"/>
      <c r="F147" s="137">
        <f t="shared" si="20"/>
        <v>0</v>
      </c>
    </row>
    <row r="148" spans="1:26" s="94" customFormat="1">
      <c r="A148" s="102" t="s">
        <v>251</v>
      </c>
      <c r="B148" s="103" t="s">
        <v>142</v>
      </c>
      <c r="C148" s="21" t="s">
        <v>13</v>
      </c>
      <c r="D148" s="137">
        <v>4</v>
      </c>
      <c r="E148" s="126"/>
      <c r="F148" s="137">
        <f t="shared" si="20"/>
        <v>0</v>
      </c>
    </row>
    <row r="149" spans="1:26" s="94" customFormat="1">
      <c r="A149" s="102" t="s">
        <v>252</v>
      </c>
      <c r="B149" s="103" t="s">
        <v>143</v>
      </c>
      <c r="C149" s="21" t="s">
        <v>13</v>
      </c>
      <c r="D149" s="137">
        <v>4</v>
      </c>
      <c r="E149" s="126"/>
      <c r="F149" s="137">
        <f t="shared" si="20"/>
        <v>0</v>
      </c>
    </row>
    <row r="150" spans="1:26" s="94" customFormat="1">
      <c r="A150" s="102" t="s">
        <v>253</v>
      </c>
      <c r="B150" s="103" t="s">
        <v>145</v>
      </c>
      <c r="C150" s="21" t="s">
        <v>13</v>
      </c>
      <c r="D150" s="137">
        <v>4</v>
      </c>
      <c r="E150" s="126"/>
      <c r="F150" s="137">
        <f t="shared" si="20"/>
        <v>0</v>
      </c>
    </row>
    <row r="151" spans="1:26" s="94" customFormat="1">
      <c r="A151" s="102" t="s">
        <v>254</v>
      </c>
      <c r="B151" s="103" t="s">
        <v>115</v>
      </c>
      <c r="C151" s="21" t="s">
        <v>13</v>
      </c>
      <c r="D151" s="137">
        <v>8</v>
      </c>
      <c r="E151" s="126"/>
      <c r="F151" s="137">
        <f t="shared" si="20"/>
        <v>0</v>
      </c>
    </row>
    <row r="152" spans="1:26" s="94" customFormat="1">
      <c r="A152" s="102" t="s">
        <v>255</v>
      </c>
      <c r="B152" s="103" t="s">
        <v>147</v>
      </c>
      <c r="C152" s="21" t="s">
        <v>13</v>
      </c>
      <c r="D152" s="137">
        <v>10</v>
      </c>
      <c r="E152" s="126"/>
      <c r="F152" s="137">
        <f t="shared" si="20"/>
        <v>0</v>
      </c>
    </row>
    <row r="153" spans="1:26" s="81" customFormat="1" ht="15.75" customHeight="1">
      <c r="A153" s="145">
        <v>6.3</v>
      </c>
      <c r="B153" s="144" t="s">
        <v>62</v>
      </c>
      <c r="C153" s="21"/>
      <c r="D153" s="124"/>
      <c r="E153" s="126"/>
      <c r="F153" s="126"/>
      <c r="G153" s="84"/>
      <c r="H153" s="83"/>
      <c r="I153" s="83"/>
      <c r="J153" s="83"/>
      <c r="K153" s="83"/>
      <c r="L153" s="83"/>
      <c r="M153" s="83"/>
      <c r="N153" s="83"/>
      <c r="O153" s="83"/>
      <c r="P153" s="83"/>
      <c r="Q153" s="83"/>
      <c r="R153" s="83"/>
      <c r="S153" s="83"/>
      <c r="T153" s="83"/>
      <c r="U153" s="83"/>
      <c r="V153" s="83"/>
      <c r="W153" s="83"/>
      <c r="X153" s="83"/>
      <c r="Y153" s="83"/>
      <c r="Z153" s="83"/>
    </row>
    <row r="154" spans="1:26" s="81" customFormat="1" ht="15.75" customHeight="1">
      <c r="A154" s="102"/>
      <c r="B154" s="103" t="s">
        <v>386</v>
      </c>
      <c r="C154" s="21"/>
      <c r="D154" s="124"/>
      <c r="E154" s="126"/>
      <c r="F154" s="126"/>
      <c r="G154" s="84"/>
      <c r="H154" s="83"/>
      <c r="I154" s="83"/>
      <c r="J154" s="83"/>
      <c r="K154" s="83"/>
      <c r="L154" s="83"/>
      <c r="M154" s="83"/>
      <c r="N154" s="83"/>
      <c r="O154" s="83"/>
      <c r="P154" s="83"/>
      <c r="Q154" s="83"/>
      <c r="R154" s="83"/>
      <c r="S154" s="83"/>
      <c r="T154" s="83"/>
      <c r="U154" s="83"/>
      <c r="V154" s="83"/>
      <c r="W154" s="83"/>
      <c r="X154" s="83"/>
      <c r="Y154" s="83"/>
      <c r="Z154" s="83"/>
    </row>
    <row r="155" spans="1:26" s="94" customFormat="1">
      <c r="A155" s="102" t="s">
        <v>256</v>
      </c>
      <c r="B155" s="103" t="s">
        <v>331</v>
      </c>
      <c r="C155" s="21" t="s">
        <v>13</v>
      </c>
      <c r="D155" s="137">
        <v>40</v>
      </c>
      <c r="E155" s="126"/>
      <c r="F155" s="137">
        <f>D155*E155</f>
        <v>0</v>
      </c>
    </row>
    <row r="156" spans="1:26" s="94" customFormat="1">
      <c r="A156" s="102" t="s">
        <v>257</v>
      </c>
      <c r="B156" s="103" t="s">
        <v>332</v>
      </c>
      <c r="C156" s="21" t="s">
        <v>13</v>
      </c>
      <c r="D156" s="137">
        <v>20</v>
      </c>
      <c r="E156" s="126"/>
      <c r="F156" s="137">
        <f t="shared" ref="F156:F172" si="21">D156*E156</f>
        <v>0</v>
      </c>
    </row>
    <row r="157" spans="1:26" s="94" customFormat="1">
      <c r="A157" s="102" t="s">
        <v>258</v>
      </c>
      <c r="B157" s="103" t="s">
        <v>131</v>
      </c>
      <c r="C157" s="21" t="s">
        <v>13</v>
      </c>
      <c r="D157" s="137">
        <v>30</v>
      </c>
      <c r="E157" s="126"/>
      <c r="F157" s="137">
        <f t="shared" si="21"/>
        <v>0</v>
      </c>
    </row>
    <row r="158" spans="1:26" s="94" customFormat="1">
      <c r="A158" s="102" t="s">
        <v>259</v>
      </c>
      <c r="B158" s="103" t="s">
        <v>132</v>
      </c>
      <c r="C158" s="21" t="s">
        <v>13</v>
      </c>
      <c r="D158" s="137">
        <v>20</v>
      </c>
      <c r="E158" s="126"/>
      <c r="F158" s="137">
        <f t="shared" si="21"/>
        <v>0</v>
      </c>
    </row>
    <row r="159" spans="1:26" s="94" customFormat="1">
      <c r="A159" s="102" t="s">
        <v>260</v>
      </c>
      <c r="B159" s="103" t="s">
        <v>133</v>
      </c>
      <c r="C159" s="21" t="s">
        <v>13</v>
      </c>
      <c r="D159" s="137">
        <v>20</v>
      </c>
      <c r="E159" s="126"/>
      <c r="F159" s="137">
        <f t="shared" si="21"/>
        <v>0</v>
      </c>
    </row>
    <row r="160" spans="1:26" s="94" customFormat="1">
      <c r="A160" s="102" t="s">
        <v>261</v>
      </c>
      <c r="B160" s="103" t="s">
        <v>134</v>
      </c>
      <c r="C160" s="21" t="s">
        <v>13</v>
      </c>
      <c r="D160" s="137">
        <v>35</v>
      </c>
      <c r="E160" s="126"/>
      <c r="F160" s="137">
        <f t="shared" si="21"/>
        <v>0</v>
      </c>
    </row>
    <row r="161" spans="1:26" s="94" customFormat="1">
      <c r="A161" s="102" t="s">
        <v>262</v>
      </c>
      <c r="B161" s="103" t="s">
        <v>135</v>
      </c>
      <c r="C161" s="21" t="s">
        <v>13</v>
      </c>
      <c r="D161" s="137">
        <v>20</v>
      </c>
      <c r="E161" s="126"/>
      <c r="F161" s="137">
        <f t="shared" si="21"/>
        <v>0</v>
      </c>
    </row>
    <row r="162" spans="1:26" s="94" customFormat="1">
      <c r="A162" s="102" t="s">
        <v>263</v>
      </c>
      <c r="B162" s="103" t="s">
        <v>136</v>
      </c>
      <c r="C162" s="21" t="s">
        <v>13</v>
      </c>
      <c r="D162" s="137">
        <v>8</v>
      </c>
      <c r="E162" s="126"/>
      <c r="F162" s="137">
        <f t="shared" si="21"/>
        <v>0</v>
      </c>
    </row>
    <row r="163" spans="1:26" s="94" customFormat="1">
      <c r="A163" s="102" t="s">
        <v>264</v>
      </c>
      <c r="B163" s="103" t="s">
        <v>137</v>
      </c>
      <c r="C163" s="21" t="s">
        <v>13</v>
      </c>
      <c r="D163" s="137">
        <v>16</v>
      </c>
      <c r="E163" s="126"/>
      <c r="F163" s="137">
        <f t="shared" si="21"/>
        <v>0</v>
      </c>
    </row>
    <row r="164" spans="1:26" s="94" customFormat="1">
      <c r="A164" s="102" t="s">
        <v>265</v>
      </c>
      <c r="B164" s="103" t="s">
        <v>138</v>
      </c>
      <c r="C164" s="21" t="s">
        <v>13</v>
      </c>
      <c r="D164" s="137">
        <v>4</v>
      </c>
      <c r="E164" s="126"/>
      <c r="F164" s="137">
        <f t="shared" si="21"/>
        <v>0</v>
      </c>
    </row>
    <row r="165" spans="1:26" s="94" customFormat="1">
      <c r="A165" s="102" t="s">
        <v>266</v>
      </c>
      <c r="B165" s="103" t="s">
        <v>139</v>
      </c>
      <c r="C165" s="21" t="s">
        <v>13</v>
      </c>
      <c r="D165" s="137">
        <v>4</v>
      </c>
      <c r="E165" s="126"/>
      <c r="F165" s="137">
        <f t="shared" si="21"/>
        <v>0</v>
      </c>
    </row>
    <row r="166" spans="1:26" s="94" customFormat="1">
      <c r="A166" s="102" t="s">
        <v>267</v>
      </c>
      <c r="B166" s="103" t="s">
        <v>140</v>
      </c>
      <c r="C166" s="21" t="s">
        <v>13</v>
      </c>
      <c r="D166" s="137">
        <v>1</v>
      </c>
      <c r="E166" s="126"/>
      <c r="F166" s="137">
        <f t="shared" si="21"/>
        <v>0</v>
      </c>
    </row>
    <row r="167" spans="1:26" s="94" customFormat="1">
      <c r="A167" s="102" t="s">
        <v>268</v>
      </c>
      <c r="B167" s="103" t="s">
        <v>141</v>
      </c>
      <c r="C167" s="21" t="s">
        <v>13</v>
      </c>
      <c r="D167" s="137">
        <v>4</v>
      </c>
      <c r="E167" s="126"/>
      <c r="F167" s="137">
        <f t="shared" si="21"/>
        <v>0</v>
      </c>
    </row>
    <row r="168" spans="1:26" s="94" customFormat="1">
      <c r="A168" s="102" t="s">
        <v>269</v>
      </c>
      <c r="B168" s="103" t="s">
        <v>142</v>
      </c>
      <c r="C168" s="21" t="s">
        <v>13</v>
      </c>
      <c r="D168" s="137">
        <v>4</v>
      </c>
      <c r="E168" s="126"/>
      <c r="F168" s="137">
        <f t="shared" si="21"/>
        <v>0</v>
      </c>
    </row>
    <row r="169" spans="1:26" s="94" customFormat="1">
      <c r="A169" s="102" t="s">
        <v>270</v>
      </c>
      <c r="B169" s="103" t="s">
        <v>143</v>
      </c>
      <c r="C169" s="21" t="s">
        <v>13</v>
      </c>
      <c r="D169" s="137">
        <v>4</v>
      </c>
      <c r="E169" s="126"/>
      <c r="F169" s="137">
        <f t="shared" si="21"/>
        <v>0</v>
      </c>
    </row>
    <row r="170" spans="1:26" s="94" customFormat="1">
      <c r="A170" s="102" t="s">
        <v>271</v>
      </c>
      <c r="B170" s="103" t="s">
        <v>145</v>
      </c>
      <c r="C170" s="21" t="s">
        <v>13</v>
      </c>
      <c r="D170" s="137">
        <v>4</v>
      </c>
      <c r="E170" s="126"/>
      <c r="F170" s="137">
        <f t="shared" si="21"/>
        <v>0</v>
      </c>
    </row>
    <row r="171" spans="1:26" s="94" customFormat="1">
      <c r="A171" s="102" t="s">
        <v>272</v>
      </c>
      <c r="B171" s="103" t="s">
        <v>115</v>
      </c>
      <c r="C171" s="21" t="s">
        <v>13</v>
      </c>
      <c r="D171" s="137">
        <v>8</v>
      </c>
      <c r="E171" s="126"/>
      <c r="F171" s="137">
        <f t="shared" si="21"/>
        <v>0</v>
      </c>
    </row>
    <row r="172" spans="1:26" s="94" customFormat="1" ht="15" thickBot="1">
      <c r="A172" s="102" t="s">
        <v>273</v>
      </c>
      <c r="B172" s="103" t="s">
        <v>147</v>
      </c>
      <c r="C172" s="21" t="s">
        <v>13</v>
      </c>
      <c r="D172" s="137">
        <v>10</v>
      </c>
      <c r="E172" s="126"/>
      <c r="F172" s="137">
        <f t="shared" si="21"/>
        <v>0</v>
      </c>
    </row>
    <row r="173" spans="1:26" s="81" customFormat="1" ht="15.75" customHeight="1" thickBot="1">
      <c r="A173" s="101" t="s">
        <v>58</v>
      </c>
      <c r="B173" s="88" t="s">
        <v>114</v>
      </c>
      <c r="C173" s="89"/>
      <c r="D173" s="127"/>
      <c r="E173" s="127"/>
      <c r="F173" s="128">
        <f>SUM(F124:F172)</f>
        <v>0</v>
      </c>
      <c r="G173" s="84"/>
      <c r="H173" s="83"/>
      <c r="I173" s="83"/>
      <c r="J173" s="83"/>
      <c r="K173" s="83"/>
      <c r="L173" s="83"/>
      <c r="M173" s="83"/>
      <c r="N173" s="83"/>
      <c r="O173" s="83"/>
      <c r="P173" s="83"/>
      <c r="Q173" s="83"/>
      <c r="R173" s="83"/>
      <c r="S173" s="83"/>
      <c r="T173" s="83"/>
      <c r="U173" s="83"/>
      <c r="V173" s="83"/>
      <c r="W173" s="83"/>
      <c r="X173" s="83"/>
      <c r="Y173" s="83"/>
      <c r="Z173" s="83"/>
    </row>
    <row r="174" spans="1:26" customFormat="1" ht="15.6">
      <c r="A174" s="26" t="s">
        <v>326</v>
      </c>
      <c r="B174" s="87" t="s">
        <v>109</v>
      </c>
      <c r="C174" s="72"/>
      <c r="D174" s="72"/>
      <c r="E174" s="73"/>
      <c r="F174" s="74"/>
      <c r="G174" s="28"/>
      <c r="H174" s="27"/>
      <c r="I174" s="27"/>
      <c r="J174" s="27"/>
      <c r="K174" s="27"/>
      <c r="L174" s="27"/>
      <c r="M174" s="75"/>
    </row>
    <row r="175" spans="1:26" customFormat="1" ht="76.95" customHeight="1">
      <c r="A175" s="102"/>
      <c r="B175" s="103" t="s">
        <v>333</v>
      </c>
      <c r="C175" s="76"/>
      <c r="D175" s="77"/>
      <c r="E175" s="78"/>
      <c r="F175" s="77"/>
      <c r="G175" s="85"/>
      <c r="H175" s="85"/>
      <c r="I175" s="85"/>
      <c r="J175" s="86"/>
      <c r="K175" s="85"/>
      <c r="L175" s="86"/>
      <c r="M175" s="85"/>
      <c r="N175" s="85"/>
      <c r="O175" s="85"/>
      <c r="P175" s="85"/>
      <c r="Q175" s="85"/>
      <c r="R175" s="85"/>
      <c r="S175" s="85"/>
      <c r="T175" s="85"/>
      <c r="U175" s="85"/>
      <c r="V175" s="85"/>
      <c r="W175" s="85"/>
      <c r="X175" s="85"/>
      <c r="Y175" s="85"/>
      <c r="Z175" s="85"/>
    </row>
    <row r="176" spans="1:26" customFormat="1" ht="15.75" customHeight="1">
      <c r="A176" s="145">
        <v>7.1</v>
      </c>
      <c r="B176" s="144" t="s">
        <v>116</v>
      </c>
      <c r="C176" s="76"/>
      <c r="D176" s="77"/>
      <c r="E176" s="78"/>
      <c r="F176" s="77"/>
      <c r="G176" s="85"/>
      <c r="H176" s="85"/>
      <c r="I176" s="85"/>
      <c r="J176" s="86"/>
      <c r="K176" s="85"/>
      <c r="L176" s="86"/>
      <c r="M176" s="85"/>
      <c r="N176" s="85"/>
      <c r="O176" s="85"/>
      <c r="P176" s="85"/>
      <c r="Q176" s="85"/>
      <c r="R176" s="85"/>
      <c r="S176" s="85"/>
      <c r="T176" s="85"/>
      <c r="U176" s="85"/>
      <c r="V176" s="85"/>
      <c r="W176" s="85"/>
      <c r="X176" s="85"/>
      <c r="Y176" s="85"/>
      <c r="Z176" s="85"/>
    </row>
    <row r="177" spans="1:26" customFormat="1" ht="49.95" customHeight="1">
      <c r="A177" s="102" t="s">
        <v>327</v>
      </c>
      <c r="B177" s="103" t="s">
        <v>149</v>
      </c>
      <c r="C177" s="66" t="s">
        <v>108</v>
      </c>
      <c r="D177" s="77">
        <v>1</v>
      </c>
      <c r="E177" s="78"/>
      <c r="F177" s="77">
        <f t="shared" ref="F177:F180" si="22">E177*D177</f>
        <v>0</v>
      </c>
      <c r="G177" s="28"/>
      <c r="H177" s="27"/>
      <c r="I177" s="27"/>
      <c r="J177" s="27"/>
      <c r="K177" s="27"/>
      <c r="L177" s="27"/>
      <c r="M177" s="75"/>
    </row>
    <row r="178" spans="1:26" s="81" customFormat="1" ht="49.95" customHeight="1">
      <c r="A178" s="102" t="s">
        <v>328</v>
      </c>
      <c r="B178" s="103" t="s">
        <v>111</v>
      </c>
      <c r="C178" s="76" t="s">
        <v>110</v>
      </c>
      <c r="D178" s="77">
        <v>2</v>
      </c>
      <c r="E178" s="78"/>
      <c r="F178" s="77">
        <f t="shared" si="22"/>
        <v>0</v>
      </c>
      <c r="G178" s="79"/>
      <c r="H178" s="79"/>
      <c r="I178" s="79"/>
      <c r="J178" s="80"/>
      <c r="K178" s="79"/>
      <c r="L178" s="80"/>
      <c r="M178" s="79"/>
      <c r="N178" s="79"/>
      <c r="O178" s="79"/>
      <c r="P178" s="79"/>
      <c r="Q178" s="79"/>
      <c r="R178" s="79"/>
      <c r="S178" s="79"/>
      <c r="T178" s="79"/>
      <c r="U178" s="79"/>
      <c r="V178" s="79"/>
      <c r="W178" s="79"/>
      <c r="X178" s="79"/>
      <c r="Y178" s="79"/>
      <c r="Z178" s="79"/>
    </row>
    <row r="179" spans="1:26" customFormat="1" ht="91.05" customHeight="1">
      <c r="A179" s="102" t="s">
        <v>329</v>
      </c>
      <c r="B179" s="103" t="s">
        <v>274</v>
      </c>
      <c r="C179" s="76" t="s">
        <v>110</v>
      </c>
      <c r="D179" s="77">
        <v>3</v>
      </c>
      <c r="E179" s="78"/>
      <c r="F179" s="77">
        <f t="shared" si="22"/>
        <v>0</v>
      </c>
      <c r="G179" s="85"/>
      <c r="H179" s="85"/>
      <c r="I179" s="85"/>
      <c r="J179" s="86"/>
      <c r="K179" s="85"/>
      <c r="L179" s="86"/>
      <c r="M179" s="85"/>
      <c r="N179" s="85"/>
      <c r="O179" s="85"/>
      <c r="P179" s="85"/>
      <c r="Q179" s="85"/>
      <c r="R179" s="85"/>
      <c r="S179" s="85"/>
      <c r="T179" s="85"/>
      <c r="U179" s="85"/>
      <c r="V179" s="85"/>
      <c r="W179" s="85"/>
      <c r="X179" s="85"/>
      <c r="Y179" s="85"/>
      <c r="Z179" s="85"/>
    </row>
    <row r="180" spans="1:26" s="81" customFormat="1" ht="51" customHeight="1" thickBot="1">
      <c r="A180" s="102" t="s">
        <v>330</v>
      </c>
      <c r="B180" s="103" t="s">
        <v>338</v>
      </c>
      <c r="C180" s="76" t="s">
        <v>110</v>
      </c>
      <c r="D180" s="77">
        <v>2</v>
      </c>
      <c r="E180" s="78"/>
      <c r="F180" s="77">
        <f t="shared" si="22"/>
        <v>0</v>
      </c>
      <c r="G180" s="79"/>
      <c r="H180" s="79"/>
      <c r="I180" s="79"/>
      <c r="J180" s="80"/>
      <c r="K180" s="79"/>
      <c r="L180" s="80"/>
      <c r="M180" s="79"/>
      <c r="N180" s="79"/>
      <c r="O180" s="79"/>
      <c r="P180" s="79"/>
      <c r="Q180" s="79"/>
      <c r="R180" s="79"/>
      <c r="S180" s="79"/>
      <c r="T180" s="79"/>
      <c r="U180" s="79"/>
      <c r="V180" s="79"/>
      <c r="W180" s="79"/>
      <c r="X180" s="79"/>
      <c r="Y180" s="79"/>
      <c r="Z180" s="79"/>
    </row>
    <row r="181" spans="1:26" s="27" customFormat="1" ht="15" thickBot="1">
      <c r="A181" s="101" t="s">
        <v>326</v>
      </c>
      <c r="B181" s="88" t="s">
        <v>118</v>
      </c>
      <c r="C181" s="89"/>
      <c r="D181" s="127"/>
      <c r="E181" s="127"/>
      <c r="F181" s="128">
        <f>SUM(F174:F180)</f>
        <v>0</v>
      </c>
      <c r="G181" s="63"/>
      <c r="I181" s="29"/>
      <c r="J181" s="29"/>
      <c r="K181" s="29"/>
      <c r="L181" s="29"/>
    </row>
    <row r="182" spans="1:26" s="27" customFormat="1" ht="15.6">
      <c r="A182" s="26" t="s">
        <v>59</v>
      </c>
      <c r="B182" s="64" t="s">
        <v>106</v>
      </c>
      <c r="C182" s="65"/>
      <c r="D182" s="67"/>
      <c r="E182" s="68"/>
      <c r="F182" s="70"/>
      <c r="G182" s="28"/>
    </row>
    <row r="183" spans="1:26" ht="64.05" customHeight="1">
      <c r="A183" s="98"/>
      <c r="B183" s="93" t="s">
        <v>387</v>
      </c>
      <c r="C183" s="66"/>
      <c r="D183" s="71"/>
      <c r="E183" s="69"/>
      <c r="F183" s="69"/>
    </row>
    <row r="184" spans="1:26">
      <c r="A184" s="98">
        <v>8.1</v>
      </c>
      <c r="B184" s="93" t="s">
        <v>339</v>
      </c>
      <c r="C184" s="66"/>
      <c r="D184" s="71"/>
      <c r="E184" s="69"/>
      <c r="F184" s="69"/>
    </row>
    <row r="185" spans="1:26">
      <c r="A185" s="121" t="s">
        <v>60</v>
      </c>
      <c r="B185" s="93" t="s">
        <v>131</v>
      </c>
      <c r="C185" s="66" t="s">
        <v>110</v>
      </c>
      <c r="D185" s="71">
        <v>2</v>
      </c>
      <c r="E185" s="69"/>
      <c r="F185" s="69">
        <f t="shared" ref="F185:F190" si="23">D185*E185</f>
        <v>0</v>
      </c>
    </row>
    <row r="186" spans="1:26">
      <c r="A186" s="121" t="s">
        <v>347</v>
      </c>
      <c r="B186" s="93" t="s">
        <v>332</v>
      </c>
      <c r="C186" s="66" t="s">
        <v>110</v>
      </c>
      <c r="D186" s="71">
        <v>2</v>
      </c>
      <c r="E186" s="69"/>
      <c r="F186" s="69">
        <f t="shared" si="23"/>
        <v>0</v>
      </c>
    </row>
    <row r="187" spans="1:26">
      <c r="A187" s="121" t="s">
        <v>348</v>
      </c>
      <c r="B187" s="93" t="s">
        <v>132</v>
      </c>
      <c r="C187" s="66" t="s">
        <v>110</v>
      </c>
      <c r="D187" s="71">
        <v>2</v>
      </c>
      <c r="E187" s="69"/>
      <c r="F187" s="69">
        <f t="shared" si="23"/>
        <v>0</v>
      </c>
    </row>
    <row r="188" spans="1:26">
      <c r="A188" s="121" t="s">
        <v>349</v>
      </c>
      <c r="B188" s="93" t="s">
        <v>133</v>
      </c>
      <c r="C188" s="66" t="s">
        <v>110</v>
      </c>
      <c r="D188" s="71">
        <v>4</v>
      </c>
      <c r="E188" s="69"/>
      <c r="F188" s="69">
        <f t="shared" si="23"/>
        <v>0</v>
      </c>
    </row>
    <row r="189" spans="1:26">
      <c r="A189" s="121" t="s">
        <v>350</v>
      </c>
      <c r="B189" s="93" t="s">
        <v>134</v>
      </c>
      <c r="C189" s="66" t="s">
        <v>110</v>
      </c>
      <c r="D189" s="71">
        <v>7</v>
      </c>
      <c r="E189" s="69"/>
      <c r="F189" s="69">
        <f t="shared" si="23"/>
        <v>0</v>
      </c>
    </row>
    <row r="190" spans="1:26">
      <c r="A190" s="121" t="s">
        <v>351</v>
      </c>
      <c r="B190" s="93" t="s">
        <v>135</v>
      </c>
      <c r="C190" s="66" t="s">
        <v>110</v>
      </c>
      <c r="D190" s="71">
        <v>4</v>
      </c>
      <c r="E190" s="69"/>
      <c r="F190" s="69">
        <f t="shared" si="23"/>
        <v>0</v>
      </c>
    </row>
    <row r="191" spans="1:26">
      <c r="A191" s="98">
        <v>8.1999999999999993</v>
      </c>
      <c r="B191" s="93" t="s">
        <v>352</v>
      </c>
      <c r="C191" s="66"/>
      <c r="D191" s="71"/>
      <c r="E191" s="69"/>
      <c r="F191" s="69"/>
    </row>
    <row r="192" spans="1:26">
      <c r="A192" s="121" t="s">
        <v>380</v>
      </c>
      <c r="B192" s="93" t="s">
        <v>131</v>
      </c>
      <c r="C192" s="66" t="s">
        <v>110</v>
      </c>
      <c r="D192" s="71">
        <v>2</v>
      </c>
      <c r="E192" s="69"/>
      <c r="F192" s="69">
        <f t="shared" ref="F192:F197" si="24">D192*E192</f>
        <v>0</v>
      </c>
    </row>
    <row r="193" spans="1:6">
      <c r="A193" s="121" t="s">
        <v>381</v>
      </c>
      <c r="B193" s="93" t="s">
        <v>332</v>
      </c>
      <c r="C193" s="66" t="s">
        <v>110</v>
      </c>
      <c r="D193" s="71">
        <v>2</v>
      </c>
      <c r="E193" s="69"/>
      <c r="F193" s="69">
        <f t="shared" si="24"/>
        <v>0</v>
      </c>
    </row>
    <row r="194" spans="1:6">
      <c r="A194" s="121" t="s">
        <v>382</v>
      </c>
      <c r="B194" s="93" t="s">
        <v>132</v>
      </c>
      <c r="C194" s="66" t="s">
        <v>110</v>
      </c>
      <c r="D194" s="71">
        <v>2</v>
      </c>
      <c r="E194" s="69"/>
      <c r="F194" s="69">
        <f t="shared" si="24"/>
        <v>0</v>
      </c>
    </row>
    <row r="195" spans="1:6">
      <c r="A195" s="121" t="s">
        <v>383</v>
      </c>
      <c r="B195" s="93" t="s">
        <v>133</v>
      </c>
      <c r="C195" s="66" t="s">
        <v>110</v>
      </c>
      <c r="D195" s="71">
        <v>4</v>
      </c>
      <c r="E195" s="69"/>
      <c r="F195" s="69">
        <f t="shared" si="24"/>
        <v>0</v>
      </c>
    </row>
    <row r="196" spans="1:6">
      <c r="A196" s="121" t="s">
        <v>384</v>
      </c>
      <c r="B196" s="93" t="s">
        <v>134</v>
      </c>
      <c r="C196" s="66" t="s">
        <v>110</v>
      </c>
      <c r="D196" s="71">
        <v>7</v>
      </c>
      <c r="E196" s="69"/>
      <c r="F196" s="69">
        <f t="shared" si="24"/>
        <v>0</v>
      </c>
    </row>
    <row r="197" spans="1:6">
      <c r="A197" s="121" t="s">
        <v>385</v>
      </c>
      <c r="B197" s="93" t="s">
        <v>135</v>
      </c>
      <c r="C197" s="66" t="s">
        <v>110</v>
      </c>
      <c r="D197" s="71">
        <v>4</v>
      </c>
      <c r="E197" s="69"/>
      <c r="F197" s="69">
        <f t="shared" si="24"/>
        <v>0</v>
      </c>
    </row>
    <row r="198" spans="1:6">
      <c r="A198" s="98">
        <v>8.3000000000000007</v>
      </c>
      <c r="B198" s="93" t="s">
        <v>353</v>
      </c>
      <c r="C198" s="66"/>
      <c r="D198" s="71"/>
      <c r="E198" s="69"/>
      <c r="F198" s="69"/>
    </row>
    <row r="199" spans="1:6">
      <c r="A199" s="121" t="s">
        <v>373</v>
      </c>
      <c r="B199" s="93" t="s">
        <v>331</v>
      </c>
      <c r="C199" s="66" t="s">
        <v>110</v>
      </c>
      <c r="D199" s="71">
        <v>8</v>
      </c>
      <c r="E199" s="69"/>
      <c r="F199" s="69">
        <f t="shared" ref="F199:F201" si="25">D199*E199</f>
        <v>0</v>
      </c>
    </row>
    <row r="200" spans="1:6">
      <c r="A200" s="121" t="s">
        <v>374</v>
      </c>
      <c r="B200" s="93" t="s">
        <v>131</v>
      </c>
      <c r="C200" s="66" t="s">
        <v>110</v>
      </c>
      <c r="D200" s="71">
        <v>6</v>
      </c>
      <c r="E200" s="69"/>
      <c r="F200" s="69">
        <f t="shared" si="25"/>
        <v>0</v>
      </c>
    </row>
    <row r="201" spans="1:6">
      <c r="A201" s="121" t="s">
        <v>375</v>
      </c>
      <c r="B201" s="93" t="s">
        <v>332</v>
      </c>
      <c r="C201" s="66" t="s">
        <v>110</v>
      </c>
      <c r="D201" s="71">
        <v>4</v>
      </c>
      <c r="E201" s="69"/>
      <c r="F201" s="69">
        <f t="shared" si="25"/>
        <v>0</v>
      </c>
    </row>
    <row r="202" spans="1:6">
      <c r="A202" s="121" t="s">
        <v>376</v>
      </c>
      <c r="B202" s="93" t="s">
        <v>132</v>
      </c>
      <c r="C202" s="66" t="s">
        <v>110</v>
      </c>
      <c r="D202" s="71">
        <v>4</v>
      </c>
      <c r="E202" s="69"/>
      <c r="F202" s="69">
        <f t="shared" ref="F202:F203" si="26">D202*E202</f>
        <v>0</v>
      </c>
    </row>
    <row r="203" spans="1:6">
      <c r="A203" s="121" t="s">
        <v>377</v>
      </c>
      <c r="B203" s="93" t="s">
        <v>133</v>
      </c>
      <c r="C203" s="66" t="s">
        <v>110</v>
      </c>
      <c r="D203" s="71">
        <v>4</v>
      </c>
      <c r="E203" s="69"/>
      <c r="F203" s="69">
        <f t="shared" si="26"/>
        <v>0</v>
      </c>
    </row>
    <row r="204" spans="1:6">
      <c r="A204" s="121" t="s">
        <v>378</v>
      </c>
      <c r="B204" s="93" t="s">
        <v>134</v>
      </c>
      <c r="C204" s="66" t="s">
        <v>110</v>
      </c>
      <c r="D204" s="71">
        <v>7</v>
      </c>
      <c r="E204" s="69"/>
      <c r="F204" s="69">
        <f t="shared" ref="F204:F210" si="27">D204*E204</f>
        <v>0</v>
      </c>
    </row>
    <row r="205" spans="1:6">
      <c r="A205" s="121" t="s">
        <v>379</v>
      </c>
      <c r="B205" s="93" t="s">
        <v>135</v>
      </c>
      <c r="C205" s="66" t="s">
        <v>110</v>
      </c>
      <c r="D205" s="71">
        <v>4</v>
      </c>
      <c r="E205" s="69"/>
      <c r="F205" s="69">
        <f t="shared" si="27"/>
        <v>0</v>
      </c>
    </row>
    <row r="206" spans="1:6">
      <c r="A206" s="98">
        <v>8.4</v>
      </c>
      <c r="B206" s="93" t="s">
        <v>340</v>
      </c>
      <c r="C206" s="139" t="s">
        <v>341</v>
      </c>
      <c r="D206" s="71">
        <v>120</v>
      </c>
      <c r="E206" s="69"/>
      <c r="F206" s="69">
        <f t="shared" si="27"/>
        <v>0</v>
      </c>
    </row>
    <row r="207" spans="1:6">
      <c r="A207" s="98">
        <v>8.5</v>
      </c>
      <c r="B207" s="93" t="s">
        <v>342</v>
      </c>
      <c r="C207" s="139" t="s">
        <v>341</v>
      </c>
      <c r="D207" s="71">
        <f>(21+21+37)*2</f>
        <v>158</v>
      </c>
      <c r="E207" s="69"/>
      <c r="F207" s="69">
        <f t="shared" si="27"/>
        <v>0</v>
      </c>
    </row>
    <row r="208" spans="1:6">
      <c r="A208" s="98">
        <v>8.6</v>
      </c>
      <c r="B208" s="93" t="s">
        <v>343</v>
      </c>
      <c r="C208" s="139" t="s">
        <v>110</v>
      </c>
      <c r="D208" s="71">
        <v>200</v>
      </c>
      <c r="E208" s="69"/>
      <c r="F208" s="69">
        <f t="shared" si="27"/>
        <v>0</v>
      </c>
    </row>
    <row r="209" spans="1:6">
      <c r="A209" s="98">
        <v>8.6999999999999993</v>
      </c>
      <c r="B209" s="93" t="s">
        <v>344</v>
      </c>
      <c r="C209" s="139" t="s">
        <v>110</v>
      </c>
      <c r="D209" s="71">
        <v>150</v>
      </c>
      <c r="E209" s="69"/>
      <c r="F209" s="69">
        <f t="shared" si="27"/>
        <v>0</v>
      </c>
    </row>
    <row r="210" spans="1:6">
      <c r="A210" s="98">
        <v>8.8000000000000007</v>
      </c>
      <c r="B210" s="93" t="s">
        <v>345</v>
      </c>
      <c r="C210" s="76" t="s">
        <v>110</v>
      </c>
      <c r="D210" s="71">
        <v>4</v>
      </c>
      <c r="E210" s="69"/>
      <c r="F210" s="69">
        <f t="shared" si="27"/>
        <v>0</v>
      </c>
    </row>
    <row r="211" spans="1:6" ht="15" thickBot="1">
      <c r="A211" s="98">
        <v>8.9</v>
      </c>
      <c r="B211" s="93" t="s">
        <v>346</v>
      </c>
      <c r="C211" s="76" t="s">
        <v>107</v>
      </c>
      <c r="D211" s="71">
        <v>1</v>
      </c>
      <c r="E211" s="69"/>
      <c r="F211" s="69">
        <f>D211*E211</f>
        <v>0</v>
      </c>
    </row>
    <row r="212" spans="1:6" ht="15" thickBot="1">
      <c r="A212" s="101" t="s">
        <v>59</v>
      </c>
      <c r="B212" s="88" t="s">
        <v>119</v>
      </c>
      <c r="C212" s="89"/>
      <c r="D212" s="127"/>
      <c r="E212" s="127"/>
      <c r="F212" s="128">
        <f>SUM(F182:F211)</f>
        <v>0</v>
      </c>
    </row>
  </sheetData>
  <mergeCells count="1">
    <mergeCell ref="A1:F1"/>
  </mergeCells>
  <phoneticPr fontId="13" type="noConversion"/>
  <pageMargins left="0.7" right="0.7" top="0.75" bottom="0.75" header="0.3" footer="0.3"/>
  <pageSetup scale="73" fitToHeight="0" orientation="portrait" r:id="rId1"/>
  <headerFooter>
    <oddHeader>&amp;F</oddHeader>
    <oddFooter>&amp;CPage &amp;P / &amp;N</oddFooter>
  </headerFooter>
  <rowBreaks count="3" manualBreakCount="3">
    <brk id="44" max="5" man="1"/>
    <brk id="107" max="5" man="1"/>
    <brk id="166"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view="pageBreakPreview" zoomScaleNormal="80" zoomScaleSheetLayoutView="100" workbookViewId="0">
      <selection activeCell="E19" sqref="E19"/>
    </sheetView>
  </sheetViews>
  <sheetFormatPr defaultColWidth="9.109375" defaultRowHeight="14.4"/>
  <cols>
    <col min="1" max="1" width="11.6640625" style="99" customWidth="1"/>
    <col min="2" max="2" width="68.33203125" style="9" customWidth="1"/>
    <col min="3" max="3" width="7.33203125" style="24" customWidth="1"/>
    <col min="4" max="4" width="10.44140625" style="138" bestFit="1" customWidth="1"/>
    <col min="5" max="5" width="12.33203125" style="138" customWidth="1"/>
    <col min="6" max="6" width="13.6640625" style="138" bestFit="1" customWidth="1"/>
    <col min="7" max="7" width="11.33203125" style="9" bestFit="1" customWidth="1"/>
    <col min="8" max="8" width="12.44140625" style="9" bestFit="1" customWidth="1"/>
    <col min="9" max="9" width="9.109375" style="9"/>
    <col min="10" max="10" width="12.44140625" style="9" bestFit="1" customWidth="1"/>
    <col min="11" max="11" width="9.109375" style="9"/>
    <col min="12" max="12" width="11.6640625" style="9" bestFit="1" customWidth="1"/>
    <col min="13" max="13" width="11.33203125" style="9" bestFit="1" customWidth="1"/>
    <col min="14" max="16384" width="9.109375" style="9"/>
  </cols>
  <sheetData>
    <row r="1" spans="1:7" s="23" customFormat="1" ht="15" thickBot="1">
      <c r="A1" s="179" t="s">
        <v>336</v>
      </c>
      <c r="B1" s="179"/>
      <c r="C1" s="179"/>
      <c r="D1" s="179"/>
      <c r="E1" s="179"/>
      <c r="F1" s="179"/>
      <c r="G1" s="22"/>
    </row>
    <row r="2" spans="1:7" ht="15" thickBot="1">
      <c r="A2" s="95" t="s">
        <v>0</v>
      </c>
      <c r="B2" s="12" t="s">
        <v>1</v>
      </c>
      <c r="C2" s="19" t="s">
        <v>2</v>
      </c>
      <c r="D2" s="20" t="s">
        <v>3</v>
      </c>
      <c r="E2" s="20" t="s">
        <v>4</v>
      </c>
      <c r="F2" s="20" t="s">
        <v>3</v>
      </c>
    </row>
    <row r="3" spans="1:7" s="27" customFormat="1" ht="15.6">
      <c r="A3" s="26" t="s">
        <v>49</v>
      </c>
      <c r="B3" s="64" t="s">
        <v>106</v>
      </c>
      <c r="C3" s="65"/>
      <c r="D3" s="67"/>
      <c r="E3" s="68"/>
      <c r="F3" s="70"/>
      <c r="G3" s="28"/>
    </row>
    <row r="4" spans="1:7">
      <c r="A4" s="98">
        <v>1.1000000000000001</v>
      </c>
      <c r="B4" s="93" t="s">
        <v>354</v>
      </c>
      <c r="C4" s="76"/>
      <c r="D4" s="71"/>
      <c r="E4" s="69"/>
      <c r="F4" s="69"/>
    </row>
    <row r="5" spans="1:7">
      <c r="A5" s="121" t="s">
        <v>55</v>
      </c>
      <c r="B5" s="93" t="s">
        <v>131</v>
      </c>
      <c r="C5" s="66" t="s">
        <v>110</v>
      </c>
      <c r="D5" s="71">
        <v>2</v>
      </c>
      <c r="E5" s="69"/>
      <c r="F5" s="69">
        <f t="shared" ref="F5:F10" si="0">D5*E5</f>
        <v>0</v>
      </c>
    </row>
    <row r="6" spans="1:7">
      <c r="A6" s="121" t="s">
        <v>368</v>
      </c>
      <c r="B6" s="93" t="s">
        <v>332</v>
      </c>
      <c r="C6" s="66" t="s">
        <v>110</v>
      </c>
      <c r="D6" s="71">
        <v>2</v>
      </c>
      <c r="E6" s="69"/>
      <c r="F6" s="69">
        <f t="shared" si="0"/>
        <v>0</v>
      </c>
    </row>
    <row r="7" spans="1:7">
      <c r="A7" s="121" t="s">
        <v>369</v>
      </c>
      <c r="B7" s="93" t="s">
        <v>132</v>
      </c>
      <c r="C7" s="66" t="s">
        <v>110</v>
      </c>
      <c r="D7" s="71">
        <v>2</v>
      </c>
      <c r="E7" s="69"/>
      <c r="F7" s="69">
        <f t="shared" si="0"/>
        <v>0</v>
      </c>
    </row>
    <row r="8" spans="1:7">
      <c r="A8" s="121" t="s">
        <v>370</v>
      </c>
      <c r="B8" s="93" t="s">
        <v>133</v>
      </c>
      <c r="C8" s="66" t="s">
        <v>110</v>
      </c>
      <c r="D8" s="71">
        <v>4</v>
      </c>
      <c r="E8" s="69"/>
      <c r="F8" s="69">
        <f t="shared" si="0"/>
        <v>0</v>
      </c>
    </row>
    <row r="9" spans="1:7">
      <c r="A9" s="121" t="s">
        <v>371</v>
      </c>
      <c r="B9" s="93" t="s">
        <v>134</v>
      </c>
      <c r="C9" s="66" t="s">
        <v>110</v>
      </c>
      <c r="D9" s="71">
        <v>7</v>
      </c>
      <c r="E9" s="69"/>
      <c r="F9" s="69">
        <f t="shared" si="0"/>
        <v>0</v>
      </c>
    </row>
    <row r="10" spans="1:7" ht="15" thickBot="1">
      <c r="A10" s="121" t="s">
        <v>372</v>
      </c>
      <c r="B10" s="93" t="s">
        <v>135</v>
      </c>
      <c r="C10" s="66" t="s">
        <v>110</v>
      </c>
      <c r="D10" s="71">
        <v>4</v>
      </c>
      <c r="E10" s="69"/>
      <c r="F10" s="69">
        <f t="shared" si="0"/>
        <v>0</v>
      </c>
    </row>
    <row r="11" spans="1:7" ht="15" thickBot="1">
      <c r="A11" s="101" t="s">
        <v>59</v>
      </c>
      <c r="B11" s="88" t="s">
        <v>119</v>
      </c>
      <c r="C11" s="89"/>
      <c r="D11" s="127"/>
      <c r="E11" s="127"/>
      <c r="F11" s="128">
        <f>SUM(F3:F10)</f>
        <v>0</v>
      </c>
    </row>
  </sheetData>
  <mergeCells count="1">
    <mergeCell ref="A1:F1"/>
  </mergeCells>
  <phoneticPr fontId="13" type="noConversion"/>
  <pageMargins left="0.7" right="0.7" top="0.75" bottom="0.75" header="0.3" footer="0.3"/>
  <pageSetup scale="73" fitToHeight="0" orientation="portrait" r:id="rId1"/>
  <headerFooter>
    <oddHeader>&amp;F</oddHeader>
    <oddFooter>&amp;CPage &amp;P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H63"/>
  <sheetViews>
    <sheetView workbookViewId="0">
      <pane ySplit="1" topLeftCell="A2" activePane="bottomLeft" state="frozen"/>
      <selection pane="bottomLeft" activeCell="E2" sqref="E2"/>
    </sheetView>
  </sheetViews>
  <sheetFormatPr defaultColWidth="8.6640625" defaultRowHeight="14.4"/>
  <sheetData>
    <row r="1" spans="1:8">
      <c r="B1">
        <v>8</v>
      </c>
      <c r="C1">
        <v>10</v>
      </c>
      <c r="D1">
        <v>12</v>
      </c>
      <c r="E1">
        <v>14</v>
      </c>
      <c r="F1">
        <v>16</v>
      </c>
      <c r="G1">
        <v>20</v>
      </c>
      <c r="H1">
        <v>24</v>
      </c>
    </row>
    <row r="2" spans="1:8">
      <c r="A2" t="s">
        <v>18</v>
      </c>
      <c r="B2">
        <f>1.5*(5.058/0.13+1+5.04/0.13+1+4.7/0.13+1+6.04/0.13+1)</f>
        <v>246.43846153846152</v>
      </c>
      <c r="E2">
        <f>2*9+2*5.8+2*9+2.4+3.6+3.5+3.6+2.5+2*11.3+2*11.2+4.2+3.8+3.6+4.3</f>
        <v>124.10000000000001</v>
      </c>
    </row>
    <row r="3" spans="1:8">
      <c r="A3" t="s">
        <v>19</v>
      </c>
      <c r="B3">
        <f>1.5*(1194/130+1+3657/130+1+5190/130+1)</f>
        <v>120.3576923076923</v>
      </c>
      <c r="E3">
        <f>2*4.9+2*9+3.8+3.6+2.5+2*7+2*6.2+3.6+4.4</f>
        <v>72.100000000000009</v>
      </c>
    </row>
    <row r="4" spans="1:8">
      <c r="B4">
        <f>1.5*(4.45+6.3+5.6+5+2.8)/0.13</f>
        <v>278.65384615384613</v>
      </c>
      <c r="E4">
        <f>2*(8.4+5.55+11.5+2.2+11.2+6.2+8.4)+3.6+4+3.6+5.08+4.5+4+3.5</f>
        <v>135.17999999999998</v>
      </c>
    </row>
    <row r="5" spans="1:8">
      <c r="A5" t="s">
        <v>20</v>
      </c>
      <c r="B5">
        <f>1.5*(5.4/0.13+1)</f>
        <v>63.807692307692307</v>
      </c>
      <c r="E5">
        <f>2*(7.4+6.7)</f>
        <v>28.200000000000003</v>
      </c>
    </row>
    <row r="6" spans="1:8">
      <c r="A6" t="s">
        <v>21</v>
      </c>
      <c r="B6">
        <f>1.5*(5.35+5.8)/0.13</f>
        <v>128.65384615384613</v>
      </c>
      <c r="E6">
        <f>2*9.3+2*3.7+2.7+3.8+2.5+12*2+4.2+4.6</f>
        <v>67.8</v>
      </c>
    </row>
    <row r="7" spans="1:8">
      <c r="A7" t="s">
        <v>22</v>
      </c>
      <c r="B7">
        <f>1.5*(5.3+5.8)/0.13</f>
        <v>128.07692307692307</v>
      </c>
      <c r="E7">
        <f>2*(9.5+3.8+12)+2.7+3.8+2.5+4.2+4.6</f>
        <v>68.400000000000006</v>
      </c>
    </row>
    <row r="8" spans="1:8">
      <c r="A8" t="s">
        <v>23</v>
      </c>
      <c r="B8">
        <f>1.5*(5.3+5.8)/0.13</f>
        <v>128.07692307692307</v>
      </c>
      <c r="E8">
        <f>2*(9.5+3.8+12+12)+2.7+3.8+2.5</f>
        <v>83.6</v>
      </c>
    </row>
    <row r="9" spans="1:8">
      <c r="A9" t="s">
        <v>24</v>
      </c>
      <c r="B9">
        <f>1.5*(6200+5350+5850)/130</f>
        <v>200.76923076923077</v>
      </c>
      <c r="E9">
        <f>2*(4+12+4+2.8+6.8+6+6.6)+3.9+3.8+2.8</f>
        <v>94.9</v>
      </c>
    </row>
    <row r="10" spans="1:8">
      <c r="A10" t="s">
        <v>25</v>
      </c>
      <c r="B10">
        <f>1.5*(6.2+4.4)/0.13</f>
        <v>122.30769230769232</v>
      </c>
      <c r="E10">
        <f>2*(4.3+8.3+11.3)+3+3.6+1.5</f>
        <v>55.900000000000006</v>
      </c>
    </row>
    <row r="11" spans="1:8">
      <c r="B11">
        <f>1.5*(3.4/0.13)</f>
        <v>39.230769230769226</v>
      </c>
      <c r="E11">
        <f>2*(5.8+5.1)+1.45+2.6</f>
        <v>25.849999999999998</v>
      </c>
    </row>
    <row r="12" spans="1:8">
      <c r="A12" t="s">
        <v>26</v>
      </c>
      <c r="B12">
        <f>1.5*(5+5)/0.13</f>
        <v>115.38461538461539</v>
      </c>
      <c r="E12">
        <f>2*(9.5+4.4+6.2+7)+2.7+3.8+3</f>
        <v>63.7</v>
      </c>
    </row>
    <row r="13" spans="1:8">
      <c r="A13" t="s">
        <v>27</v>
      </c>
      <c r="B13">
        <f>1.5*(5.3+4.5+4.7)/0.13</f>
        <v>167.30769230769229</v>
      </c>
      <c r="F13">
        <f>2*12+7+3.8+6+4.6+4.6+3.8</f>
        <v>53.8</v>
      </c>
      <c r="G13">
        <f>4*4.4+4*4.4+2*3+4*3+5*7+5*7</f>
        <v>123.2</v>
      </c>
    </row>
    <row r="14" spans="1:8">
      <c r="A14" t="s">
        <v>28</v>
      </c>
      <c r="B14">
        <f>1.5*(1.9+6.3+5.6)/0.13</f>
        <v>159.23076923076923</v>
      </c>
      <c r="E14">
        <f>2*(8.5+6)+4.4</f>
        <v>33.4</v>
      </c>
      <c r="F14">
        <f>2*(6.4+8.9)+4.5+4+2.5</f>
        <v>41.6</v>
      </c>
    </row>
    <row r="15" spans="1:8">
      <c r="B15">
        <f>1.5*(5/0.13)</f>
        <v>57.692307692307693</v>
      </c>
      <c r="E15">
        <f>2*6.1+2.3+2.2+5.4*2+4.2</f>
        <v>31.7</v>
      </c>
    </row>
    <row r="16" spans="1:8">
      <c r="B16">
        <f>1.5*(2.8+2.5+5.4)/0.13</f>
        <v>123.46153846153844</v>
      </c>
      <c r="F16">
        <f>2*11.2+4.2</f>
        <v>26.599999999999998</v>
      </c>
      <c r="G16">
        <f>2*12+7.8+2.4</f>
        <v>34.200000000000003</v>
      </c>
    </row>
    <row r="17" spans="1:7">
      <c r="A17" t="s">
        <v>29</v>
      </c>
      <c r="B17">
        <f>1.5*(6.7+6.3+5.5+5)/0.13</f>
        <v>271.15384615384613</v>
      </c>
      <c r="E17">
        <f>2*(7.3+6.6+6+5.4)+5.2+4.5+4+3.85</f>
        <v>68.149999999999991</v>
      </c>
      <c r="F17">
        <f>2*(10.8+6.3+8.6+3)+4.4+4+3.5+2.3</f>
        <v>71.600000000000009</v>
      </c>
    </row>
    <row r="18" spans="1:7">
      <c r="A18" t="s">
        <v>19</v>
      </c>
      <c r="B18">
        <f>1.5*(7+6.3+5.6+5+2.8)/0.13</f>
        <v>308.07692307692304</v>
      </c>
      <c r="F18">
        <f>2*(7.8+5.6+7+8.2)+4.5+4.8+4</f>
        <v>70.5</v>
      </c>
      <c r="G18">
        <f>2*(10.7+6.3+11.4)+3+4.5+4+3+5</f>
        <v>76.3</v>
      </c>
    </row>
    <row r="19" spans="1:7">
      <c r="B19">
        <f>1.5*(1.6+5+5.6)/0.13</f>
        <v>140.76923076923075</v>
      </c>
      <c r="E19">
        <f>2*(7+6)+3.6+4.4</f>
        <v>34</v>
      </c>
      <c r="F19">
        <f>2*(4.7+8.9+3.6+2.5)+3.7</f>
        <v>43.100000000000009</v>
      </c>
    </row>
    <row r="20" spans="1:7">
      <c r="A20" t="s">
        <v>30</v>
      </c>
      <c r="B20">
        <f>1.5*(5.4+5.4+5)/0.13</f>
        <v>182.30769230769232</v>
      </c>
      <c r="F20">
        <f>2*(5.8+5.7+5.3+5.9)+4.2+3.8+3.5+4.5</f>
        <v>61.400000000000006</v>
      </c>
      <c r="G20">
        <f>2*(8.9+5.5+8.8)+2.4+3.8+3.5+3.55</f>
        <v>59.65</v>
      </c>
    </row>
    <row r="21" spans="1:7">
      <c r="A21" t="s">
        <v>21</v>
      </c>
      <c r="B21">
        <f>1.5*(3.8+6.2+5.4+5.9)/0.13</f>
        <v>245.76923076923077</v>
      </c>
      <c r="F21">
        <f>2*(10+5.7+6.5)+4.4+4.4</f>
        <v>53.199999999999996</v>
      </c>
      <c r="G21">
        <f>2*(7.3+12+3.85)+6.3+4+3.8+2.6</f>
        <v>63</v>
      </c>
    </row>
    <row r="22" spans="1:7">
      <c r="A22" t="s">
        <v>22</v>
      </c>
      <c r="B22">
        <f>1.5*(6.2+6.2+5.3+5.3)/0.13</f>
        <v>265.38461538461536</v>
      </c>
      <c r="F22">
        <f>4.4+3.8+4.6</f>
        <v>12.799999999999999</v>
      </c>
      <c r="G22">
        <f>2*(9.7+11.6+3.9)+4*2.6+4.2+3.9+3.8+2.5*4+5*8.42+2*6.5+2*5.6+6.3*2</f>
        <v>161.59999999999997</v>
      </c>
    </row>
    <row r="23" spans="1:7">
      <c r="A23" t="s">
        <v>23</v>
      </c>
      <c r="B23">
        <f>1.5*(7.5+6+5+5.5)/0.13</f>
        <v>276.92307692307691</v>
      </c>
      <c r="F23">
        <f>4.4+3.8+4.4+2*(7.9+6.5+5.7+5.5)</f>
        <v>63.800000000000004</v>
      </c>
      <c r="G23">
        <f>2*(11.2+11.8+4.1+3.7+2*2.8)+4.7+3.8+3.8+2.8</f>
        <v>87.899999999999991</v>
      </c>
    </row>
    <row r="24" spans="1:7">
      <c r="A24" t="s">
        <v>26</v>
      </c>
      <c r="B24">
        <f>1.5*(5.2+5.5+2.5)/0.13</f>
        <v>152.30769230769229</v>
      </c>
      <c r="F24">
        <f>2*(6.1+6.8+3.3)+4.15+4.6</f>
        <v>41.15</v>
      </c>
      <c r="G24">
        <f>2*(10+4.4+4+2.7+2*3.1)+3.8</f>
        <v>58.399999999999991</v>
      </c>
    </row>
    <row r="25" spans="1:7">
      <c r="A25" t="s">
        <v>27</v>
      </c>
      <c r="B25">
        <f>1.5*(2+6+5+5.3+1.4)/0.13</f>
        <v>227.30769230769226</v>
      </c>
      <c r="F25">
        <f>2*(8.7+5.7+7.8)+4.1+3.8+4.4</f>
        <v>56.699999999999996</v>
      </c>
      <c r="G25">
        <f>2*(6.1+11.7+5.2+4.9+3*2)+3.9+3.8</f>
        <v>75.5</v>
      </c>
    </row>
    <row r="26" spans="1:7">
      <c r="A26" t="s">
        <v>25</v>
      </c>
      <c r="B26">
        <f>1.5*(2.4+6+4.2+4)/0.13</f>
        <v>191.53846153846155</v>
      </c>
      <c r="F26">
        <f>2*(9.1+4.9+5.1)+4.4</f>
        <v>42.6</v>
      </c>
      <c r="G26">
        <f>2*(6.5+8.3+5.2+5.8+2.6*2)+3.6</f>
        <v>65.599999999999994</v>
      </c>
    </row>
    <row r="27" spans="1:7">
      <c r="A27" t="s">
        <v>31</v>
      </c>
      <c r="B27">
        <f>1.5*(6+5+5.4)/0.13</f>
        <v>189.2307692307692</v>
      </c>
      <c r="G27">
        <f>2*(9.9+9.5+2*2.8+2*2.8)+3.8+3.8+2*(6.6+5.7+6.5)+4.9+3.8+4.6</f>
        <v>119.7</v>
      </c>
    </row>
    <row r="28" spans="1:7">
      <c r="A28" t="s">
        <v>32</v>
      </c>
      <c r="B28">
        <f>1.5*(4.5+6)/0.13</f>
        <v>121.15384615384615</v>
      </c>
      <c r="F28">
        <f>3.4+4.7</f>
        <v>8.1</v>
      </c>
      <c r="G28">
        <f>2*(8.6+4.7+2.2+3.6+2*3.5)+5*(5.2+7.4)</f>
        <v>115.20000000000002</v>
      </c>
    </row>
    <row r="29" spans="1:7">
      <c r="A29" t="s">
        <v>33</v>
      </c>
      <c r="B29">
        <f>1.5*(3+4+3+3+5.3)/0.13</f>
        <v>211.15384615384616</v>
      </c>
      <c r="F29">
        <f>2.6+2.5+2.4+3.2+2.9+4.6</f>
        <v>18.2</v>
      </c>
      <c r="G29">
        <f>4*(10.1+11.9)+5*(11.4+10)+4*(2+2.7)</f>
        <v>213.8</v>
      </c>
    </row>
    <row r="30" spans="1:7">
      <c r="A30" t="s">
        <v>34</v>
      </c>
      <c r="B30">
        <f>1.5*(3.6+5+3.5)/0.13</f>
        <v>139.61538461538461</v>
      </c>
      <c r="F30">
        <f>2*(4.2+10)+3.4</f>
        <v>31.799999999999997</v>
      </c>
      <c r="G30">
        <f>2*(7.3+7.3+1.9)+3.1+3.1</f>
        <v>39.200000000000003</v>
      </c>
    </row>
    <row r="31" spans="1:7">
      <c r="A31" s="10" t="s">
        <v>35</v>
      </c>
    </row>
    <row r="32" spans="1:7">
      <c r="A32" t="s">
        <v>28</v>
      </c>
      <c r="B32">
        <f>3*1.5*(6.5+6.1+5.5)/0.13</f>
        <v>626.53846153846155</v>
      </c>
      <c r="F32">
        <f>3*(2*(7.2+6.6+6)+5.2+4.5+4.4)</f>
        <v>161.10000000000002</v>
      </c>
      <c r="G32">
        <f>3*(2*(10.7+9.5)+3+4.4+4+4*2.5)</f>
        <v>185.39999999999998</v>
      </c>
    </row>
    <row r="33" spans="1:7">
      <c r="B33">
        <f>3*1.5*(4.2+2.5+2.3+5.2)/0.13</f>
        <v>491.53846153846149</v>
      </c>
      <c r="F33">
        <f>3*(2*(5.4+11.2)+4.2+4.2)</f>
        <v>124.80000000000003</v>
      </c>
      <c r="G33">
        <f>3*2*(6.1+2.3+2.3+12+7.8+2*2.4)</f>
        <v>211.79999999999998</v>
      </c>
    </row>
    <row r="34" spans="1:7">
      <c r="A34" t="s">
        <v>19</v>
      </c>
      <c r="B34">
        <f>3*1.5*(5.5+4.8+2.5)/0.13</f>
        <v>443.07692307692309</v>
      </c>
      <c r="G34">
        <f>3*(4*8.9+2*6.1+4*2.5+2*3.8+4*5.1+2*6.1+2*6.2+4.4+3.9)</f>
        <v>356.1</v>
      </c>
    </row>
    <row r="35" spans="1:7">
      <c r="B35">
        <f>3*1.5*(1.6+4.8+5.4)/0.13</f>
        <v>408.46153846153845</v>
      </c>
      <c r="F35">
        <f>3*(2*(6.9+6)+3.7+4.4)</f>
        <v>101.69999999999999</v>
      </c>
      <c r="G35">
        <f>3*(2*(4.9+8.9+3.8+3.8)+2.5)</f>
        <v>135.9</v>
      </c>
    </row>
    <row r="36" spans="1:7">
      <c r="A36" t="s">
        <v>30</v>
      </c>
      <c r="B36">
        <f>3*1.5*(5.2+4.8+5+5+4.8+5.4)/0.13</f>
        <v>1045.3846153846155</v>
      </c>
      <c r="G36">
        <f>3*(2*(8.9+5.5+10.9+8.9+2.5+6+3.6+3.5+10.7+5.7+8.9+2*2.5+11)+3.6+3.5+3.6+4.4+3.6+3.8+3.8+3.6+4.4)</f>
        <v>649.50000000000011</v>
      </c>
    </row>
    <row r="37" spans="1:7">
      <c r="A37" t="s">
        <v>22</v>
      </c>
      <c r="B37">
        <f>3*1.5*(6+6+5+5.5)/0.13</f>
        <v>778.84615384615381</v>
      </c>
      <c r="F37">
        <f>3*(2*(6.5+6.5+5.7+6.3)+4.4+3.8+4.4)</f>
        <v>187.79999999999998</v>
      </c>
      <c r="G37">
        <f>3*(2*(9.8+11.7+3.9+2.6+2.6)+4.2+3.9+3.8)</f>
        <v>219.3</v>
      </c>
    </row>
    <row r="38" spans="1:7">
      <c r="A38" t="s">
        <v>29</v>
      </c>
      <c r="B38">
        <f>3*1.5*(6.5+6+5.2+4.8+5+5)/0.13</f>
        <v>1125</v>
      </c>
      <c r="F38">
        <f>3*(2*(7.3+6.6+10.9+11.2)+4.2+3.8+3.5+4+4.5+5.2)</f>
        <v>291.60000000000002</v>
      </c>
      <c r="G38">
        <f>3*(2*(10.8+8.3+10.9+8.9+3+4+2*2.4)+3.6+3.5+3.6+4.4)</f>
        <v>349.49999999999994</v>
      </c>
    </row>
    <row r="39" spans="1:7">
      <c r="A39" t="s">
        <v>23</v>
      </c>
      <c r="B39">
        <f>3*1.5*(7.4+6+5+5)/0.13</f>
        <v>810</v>
      </c>
      <c r="F39">
        <f>3*(2*(7.9)+6.5+2*5.7+2*8.5+4.5+3.8+4.4)</f>
        <v>190.2</v>
      </c>
      <c r="G39">
        <f>3*(2*(2*11.2+11.7+4.1+3.9+2.8)+4.7+3.9+3.8)</f>
        <v>306.59999999999997</v>
      </c>
    </row>
    <row r="40" spans="1:7">
      <c r="A40" t="s">
        <v>27</v>
      </c>
      <c r="B40">
        <f>3*1.5*(2+6+5+5.5+1.2)/0.13</f>
        <v>681.92307692307679</v>
      </c>
      <c r="F40">
        <f>3*(2*(8.9+5.7+7.9)+4.9+3.8+4.6)</f>
        <v>174.89999999999998</v>
      </c>
      <c r="G40">
        <f>3*(2*(6+11.7+5.2+4.9+2*3.1)+3.9+3.8)</f>
        <v>227.10000000000002</v>
      </c>
    </row>
    <row r="41" spans="1:7">
      <c r="A41" t="s">
        <v>31</v>
      </c>
      <c r="B41">
        <f>3*1.5*(6+5+5.5)/0.13</f>
        <v>571.15384615384619</v>
      </c>
      <c r="F41">
        <f>3*((2*6.7+5.9+6.5)+4.9+3.8+4.6)</f>
        <v>117.30000000000001</v>
      </c>
      <c r="G41">
        <f>3*(2*(9.7+4.1+2.8+2.8)+3.9+3.8)</f>
        <v>139.49999999999997</v>
      </c>
    </row>
    <row r="42" spans="1:7">
      <c r="A42" t="s">
        <v>26</v>
      </c>
      <c r="B42">
        <f>3*1.5*(5+5.5)/0.13</f>
        <v>363.46153846153845</v>
      </c>
      <c r="E42">
        <f>3*(2*(6.2+7)+4.2+4.6)</f>
        <v>105.6</v>
      </c>
      <c r="F42">
        <f>3*((2*9.5+4.2+2*2.7)+3.8+3.1)</f>
        <v>106.5</v>
      </c>
    </row>
    <row r="43" spans="1:7">
      <c r="A43" t="s">
        <v>36</v>
      </c>
      <c r="B43">
        <f>6*(8/0.13)</f>
        <v>369.23076923076917</v>
      </c>
      <c r="F43">
        <f>6*(2*9.1+6.9)</f>
        <v>150.60000000000002</v>
      </c>
      <c r="G43">
        <f>6*(2*(9.8+3.5+2*3.7))</f>
        <v>248.40000000000003</v>
      </c>
    </row>
    <row r="44" spans="1:7">
      <c r="B44">
        <f>6*1.5*(3.5/0.13)</f>
        <v>242.30769230769232</v>
      </c>
      <c r="F44">
        <f>6*(2*5.1)</f>
        <v>61.199999999999996</v>
      </c>
      <c r="G44">
        <f>6*(2*(5.8+2*1.9+2*2.6))</f>
        <v>177.60000000000002</v>
      </c>
    </row>
    <row r="45" spans="1:7">
      <c r="A45" t="s">
        <v>26</v>
      </c>
      <c r="B45">
        <f>3*1.5*(4/0.13)</f>
        <v>138.46153846153845</v>
      </c>
      <c r="F45">
        <f>3*(2*5.1)</f>
        <v>30.599999999999998</v>
      </c>
      <c r="G45">
        <f>3*(2*5.8+2.4+1.9*2)</f>
        <v>53.400000000000006</v>
      </c>
    </row>
    <row r="46" spans="1:7">
      <c r="A46" t="s">
        <v>37</v>
      </c>
      <c r="B46">
        <f>3*(6+5+5.5+3.5)/0.13</f>
        <v>461.53846153846155</v>
      </c>
      <c r="E46">
        <f>3*(2*4.3)</f>
        <v>25.799999999999997</v>
      </c>
      <c r="F46">
        <f>3*(2*(11.7+3.9+4.9+3.9+3.8+2.6+6.8+5.7+6.3)+4.4+3.8+4.6)</f>
        <v>336</v>
      </c>
      <c r="G46">
        <f>3*(2*(3.8+2*2.9))</f>
        <v>57.599999999999994</v>
      </c>
    </row>
    <row r="47" spans="1:7">
      <c r="A47" t="s">
        <v>38</v>
      </c>
      <c r="B47">
        <f>6*1.5*(4.4+5.8)/0.13</f>
        <v>706.15384615384608</v>
      </c>
      <c r="F47">
        <f>6*(2*(3.6+3.4+4.6))</f>
        <v>139.19999999999999</v>
      </c>
      <c r="G47">
        <f>6*(4*(8.4+4.5+2.2+3.5)+5*(5+7.2))</f>
        <v>812.40000000000009</v>
      </c>
    </row>
    <row r="48" spans="1:7">
      <c r="A48" t="s">
        <v>33</v>
      </c>
      <c r="B48">
        <f>3*(3+3.8+3+3+5.5+4.2+5)/0.13</f>
        <v>634.61538461538464</v>
      </c>
      <c r="F48">
        <f>3*(2*(11.4+9.7+10.4)+4.2+3.3+4.6+2.9)</f>
        <v>234</v>
      </c>
      <c r="G48">
        <f>3*(2*(10.1+8.4+5.5+2+8.6+2*2.5)+3.3+3.2+2.4+2.5+2.6)</f>
        <v>279.60000000000002</v>
      </c>
    </row>
    <row r="49" spans="1:8">
      <c r="A49" t="s">
        <v>34</v>
      </c>
      <c r="B49">
        <f>3*(3.4+5+3.4)/0.13</f>
        <v>272.30769230769232</v>
      </c>
      <c r="F49">
        <f>3*(2*(4.2+9.6)+3.8)</f>
        <v>94.2</v>
      </c>
      <c r="G49">
        <f>3*(2*(7.2+7.3+1.9+1.9)+3.1+3.1)</f>
        <v>128.39999999999998</v>
      </c>
    </row>
    <row r="50" spans="1:8">
      <c r="A50" t="s">
        <v>39</v>
      </c>
    </row>
    <row r="51" spans="1:8">
      <c r="A51" t="s">
        <v>30</v>
      </c>
      <c r="B51">
        <f>6*1.5*(5.2+4.8+5+5+4.8+5.4)/0.13</f>
        <v>2090.7692307692309</v>
      </c>
      <c r="G51">
        <f>6*(2*(8.9+5.5+10.9+8.9+2.5+6+3.6+3.5+10.7+5.7+8.9+2*2.5+11)+3.6+3.5+3.6+4.4+3.6+3.8+3.8+3.6+4.4)</f>
        <v>1299.0000000000002</v>
      </c>
    </row>
    <row r="52" spans="1:8">
      <c r="A52" t="s">
        <v>19</v>
      </c>
      <c r="B52">
        <f>6*1.5*(5.5+4.8+2.5)/0.13</f>
        <v>886.15384615384619</v>
      </c>
      <c r="G52">
        <f>6*(4*8.9+2*6.1+4*2.5+2*3.8+4*5.1+2*6.1+2*6.2+4.4+3.9)</f>
        <v>712.2</v>
      </c>
    </row>
    <row r="53" spans="1:8">
      <c r="B53">
        <f>6*1.5*(1.6+4.8+5.4)/0.13</f>
        <v>816.92307692307691</v>
      </c>
      <c r="F53">
        <f>6*(2*(6.9+6)+3.7+4.4)</f>
        <v>203.39999999999998</v>
      </c>
      <c r="G53">
        <f>6*(2*(4.9+8.9+3.8+3.8)+2.5)</f>
        <v>271.8</v>
      </c>
    </row>
    <row r="54" spans="1:8">
      <c r="A54" t="s">
        <v>28</v>
      </c>
      <c r="B54">
        <f>6*1.5*(2.4+2.5+4.2)/0.13</f>
        <v>630</v>
      </c>
      <c r="F54">
        <f>3*(2*(12)+4.2)</f>
        <v>84.6</v>
      </c>
      <c r="G54">
        <f>3*(2*(12+2*7.8+2*2.4))</f>
        <v>194.39999999999998</v>
      </c>
    </row>
    <row r="55" spans="1:8">
      <c r="A55" t="s">
        <v>31</v>
      </c>
      <c r="B55">
        <f>6*1.5*(6+5+5.5)/0.13</f>
        <v>1142.3076923076924</v>
      </c>
      <c r="F55">
        <f>6*((2*6.7+2*5.7+2*6.5)+4.9+3.8+4.6)</f>
        <v>306.59999999999997</v>
      </c>
      <c r="G55">
        <f>6*(2*(9.7+9.5+2*2.8+2*2.8)+3.9+3.8)</f>
        <v>411</v>
      </c>
    </row>
    <row r="56" spans="1:8">
      <c r="A56" t="s">
        <v>23</v>
      </c>
      <c r="B56">
        <f>6*1.5*(6+5+5)/0.13</f>
        <v>1107.6923076923076</v>
      </c>
      <c r="F56">
        <f>6*(2*(6.9+5.7+6.5)+3.9+3.8+4.9+3.8+4.6)</f>
        <v>355.2</v>
      </c>
      <c r="G56">
        <f>6*(2*(9.7+4.1+2.8+2.8))</f>
        <v>232.79999999999998</v>
      </c>
    </row>
    <row r="57" spans="1:8">
      <c r="A57" t="s">
        <v>40</v>
      </c>
      <c r="B57">
        <f>12*1.5*(6+5+5.5+1.2)/0.13</f>
        <v>2450.7692307692305</v>
      </c>
      <c r="F57">
        <f>3*(2*(7.8+5.7+7.9)+4.9+3.8+4.6)</f>
        <v>168.29999999999998</v>
      </c>
      <c r="G57">
        <f>12*(2*(5+11.7+5.2+3.8+2*3.1)+3.9+3.8)</f>
        <v>858</v>
      </c>
    </row>
    <row r="58" spans="1:8">
      <c r="A58" t="s">
        <v>25</v>
      </c>
      <c r="B58">
        <f>6*((2.4+6+4)/0.13)</f>
        <v>572.30769230769238</v>
      </c>
      <c r="F58">
        <f>6*(2*(9.1+4.7)+4.4)</f>
        <v>192</v>
      </c>
      <c r="G58">
        <f>6*(2*(6.5+8.3+5.2+2)+3.6)</f>
        <v>285.60000000000002</v>
      </c>
    </row>
    <row r="59" spans="1:8">
      <c r="B59">
        <f>6*(4/0.13)</f>
        <v>184.61538461538458</v>
      </c>
      <c r="G59">
        <f>6*(2*5.8+5.1+2*2+2*2.6)</f>
        <v>155.39999999999998</v>
      </c>
    </row>
    <row r="60" spans="1:8">
      <c r="A60" t="s">
        <v>32</v>
      </c>
      <c r="B60">
        <f>12*1.5*(4.4+5.8)/0.13</f>
        <v>1412.3076923076922</v>
      </c>
      <c r="F60">
        <f>12*(2*(3.6+3.4+4.6))</f>
        <v>278.39999999999998</v>
      </c>
      <c r="G60">
        <f>12*(4*(8.4+4.5+2.2+3.5)+5*(5+7.2))</f>
        <v>1624.8000000000002</v>
      </c>
    </row>
    <row r="61" spans="1:8">
      <c r="A61" t="s">
        <v>33</v>
      </c>
      <c r="B61">
        <f>6*(6+4+3+5.5+4.2+5)/0.13</f>
        <v>1278.4615384615383</v>
      </c>
      <c r="F61">
        <f>3*(2*(11.4+9.7+10.4)+4.2+3.3+4.6+2.9)</f>
        <v>234</v>
      </c>
      <c r="G61">
        <f>6*(2*(4.3+8+11.2+8+4.6+2*3.5+3.6+2*3.4)+3.4+3.7+3.4+3.6)</f>
        <v>726.6</v>
      </c>
    </row>
    <row r="62" spans="1:8">
      <c r="A62" t="s">
        <v>41</v>
      </c>
      <c r="B62">
        <f>12*(3.4+5+3.4)/0.13</f>
        <v>1089.2307692307693</v>
      </c>
      <c r="F62">
        <f>12*(2*(4.2+9.6)+3.8)</f>
        <v>376.8</v>
      </c>
      <c r="G62">
        <f>12*(2*(7.2+7.3+1.9+1.9)+3.1+3.1)</f>
        <v>513.59999999999991</v>
      </c>
    </row>
    <row r="63" spans="1:8" s="10" customFormat="1">
      <c r="A63" s="10" t="s">
        <v>42</v>
      </c>
      <c r="B63" s="10">
        <f>SUM(B2:B62)</f>
        <v>28833.680769230767</v>
      </c>
      <c r="C63" s="10">
        <f t="shared" ref="C63:H63" si="0">SUM(C2:C62)</f>
        <v>0</v>
      </c>
      <c r="D63" s="10">
        <f t="shared" si="0"/>
        <v>0</v>
      </c>
      <c r="E63" s="10">
        <f t="shared" si="0"/>
        <v>1118.3799999999999</v>
      </c>
      <c r="F63" s="10">
        <f t="shared" si="0"/>
        <v>5397.95</v>
      </c>
      <c r="G63" s="10">
        <f t="shared" si="0"/>
        <v>13116.55</v>
      </c>
      <c r="H63" s="10">
        <f t="shared" si="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Cover Page</vt:lpstr>
      <vt:lpstr>preamble to BOQ</vt:lpstr>
      <vt:lpstr>Summary</vt:lpstr>
      <vt:lpstr>BOQ</vt:lpstr>
      <vt:lpstr>MECH</vt:lpstr>
      <vt:lpstr>Rebar</vt:lpstr>
      <vt:lpstr>BOQ!Print_Area</vt:lpstr>
      <vt:lpstr>'Cover Page'!Print_Area</vt:lpstr>
      <vt:lpstr>MECH!Print_Area</vt:lpstr>
      <vt:lpstr>'preamble to BOQ'!Print_Area</vt:lpstr>
      <vt:lpstr>Summary!Print_Area</vt:lpstr>
      <vt:lpstr>BOQ!Print_Titles</vt:lpstr>
      <vt:lpstr>MECH!Print_Titles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cuamm</cp:lastModifiedBy>
  <cp:lastPrinted>2024-11-05T14:01:04Z</cp:lastPrinted>
  <dcterms:created xsi:type="dcterms:W3CDTF">2013-05-22T17:33:18Z</dcterms:created>
  <dcterms:modified xsi:type="dcterms:W3CDTF">2025-05-09T09:46:00Z</dcterms:modified>
</cp:coreProperties>
</file>