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uamm\Documents\01 CUAMM Ethiopia\04 Procurement\2025-01 Works Contract - Suhul Hospital Rehabilitation\To be posted\"/>
    </mc:Choice>
  </mc:AlternateContent>
  <workbookProtection workbookAlgorithmName="SHA-512" workbookHashValue="7drR8yomB/SD8Yi5Dlk/Y014ew1UClUvmOul3pDZJfbAFP8j3EUipmb4uez/197yFrCke0p/NPRYim24z1UEng==" workbookSaltValue="fQxqPNBQx0rCIl2fWM/BGA==" workbookSpinCount="100000" lockStructure="1"/>
  <bookViews>
    <workbookView xWindow="0" yWindow="504" windowWidth="28800" windowHeight="17496" tabRatio="670" activeTab="3"/>
  </bookViews>
  <sheets>
    <sheet name="Cover Page" sheetId="41" r:id="rId1"/>
    <sheet name="preamble to BOQ" sheetId="42" r:id="rId2"/>
    <sheet name="Summary" sheetId="21" r:id="rId3"/>
    <sheet name="BOQ" sheetId="20" r:id="rId4"/>
    <sheet name="TO-1" sheetId="44" r:id="rId5"/>
    <sheet name="Re-bar" sheetId="43" r:id="rId6"/>
    <sheet name="Rebar" sheetId="29"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dhfsjhfsfjfjfj">'[1]05 Ar &amp; St'!#REF!</definedName>
    <definedName name="_____con25" localSheetId="5">#REF!</definedName>
    <definedName name="_____con25" localSheetId="4">#REF!</definedName>
    <definedName name="_____con25">#REF!</definedName>
    <definedName name="____dim03670" localSheetId="5">#REF!</definedName>
    <definedName name="____dim03670" localSheetId="4">#REF!</definedName>
    <definedName name="____dim03670">#REF!</definedName>
    <definedName name="____gip1" localSheetId="5">#REF!</definedName>
    <definedName name="____gip1" localSheetId="4">#REF!</definedName>
    <definedName name="____gip1">#REF!</definedName>
    <definedName name="____gip2" localSheetId="5">#REF!</definedName>
    <definedName name="____gip2">#REF!</definedName>
    <definedName name="____hcb20" localSheetId="5">#REF!</definedName>
    <definedName name="____hcb20">#REF!</definedName>
    <definedName name="____snf300250" localSheetId="5">#REF!</definedName>
    <definedName name="____snf300250">#REF!</definedName>
    <definedName name="____tms118" localSheetId="5">#REF!</definedName>
    <definedName name="____tms118">#REF!</definedName>
    <definedName name="____tms136" localSheetId="5">#REF!</definedName>
    <definedName name="____tms136">#REF!</definedName>
    <definedName name="____tms236" localSheetId="5">#REF!</definedName>
    <definedName name="____tms236">#REF!</definedName>
    <definedName name="____tmw065136" localSheetId="5">#REF!</definedName>
    <definedName name="____tmw065136">#REF!</definedName>
    <definedName name="___A122816" localSheetId="5">#REF!</definedName>
    <definedName name="___A122816">#REF!</definedName>
    <definedName name="___con25" localSheetId="5">#REF!</definedName>
    <definedName name="___con25">#REF!</definedName>
    <definedName name="___dim03670" localSheetId="5">#REF!</definedName>
    <definedName name="___dim03670">#REF!</definedName>
    <definedName name="___gip1" localSheetId="5">#REF!</definedName>
    <definedName name="___gip1">#REF!</definedName>
    <definedName name="___gip2" localSheetId="5">#REF!</definedName>
    <definedName name="___gip2">#REF!</definedName>
    <definedName name="___hcb20" localSheetId="5">#REF!</definedName>
    <definedName name="___hcb20">#REF!</definedName>
    <definedName name="___snf300250" localSheetId="5">#REF!</definedName>
    <definedName name="___snf300250">#REF!</definedName>
    <definedName name="___tms118" localSheetId="5">#REF!</definedName>
    <definedName name="___tms118">#REF!</definedName>
    <definedName name="___tms136" localSheetId="5">#REF!</definedName>
    <definedName name="___tms136">#REF!</definedName>
    <definedName name="___tms236" localSheetId="5">#REF!</definedName>
    <definedName name="___tms236">#REF!</definedName>
    <definedName name="___tmw065136" localSheetId="5">#REF!</definedName>
    <definedName name="___tmw065136">#REF!</definedName>
    <definedName name="__A122816" localSheetId="5">#REF!</definedName>
    <definedName name="__A122816">#REF!</definedName>
    <definedName name="__con25" localSheetId="5">#REF!</definedName>
    <definedName name="__con25">#REF!</definedName>
    <definedName name="__dim03670" localSheetId="5">#REF!</definedName>
    <definedName name="__dim03670">#REF!</definedName>
    <definedName name="__flr2">'[2] L -1  sub R-bar for 200Kpa '!$G$1:$G$65536</definedName>
    <definedName name="__gip1" localSheetId="5">#REF!</definedName>
    <definedName name="__gip1" localSheetId="4">#REF!</definedName>
    <definedName name="__gip1">#REF!</definedName>
    <definedName name="__gip2" localSheetId="5">#REF!</definedName>
    <definedName name="__gip2" localSheetId="4">#REF!</definedName>
    <definedName name="__gip2">#REF!</definedName>
    <definedName name="__hcb20" localSheetId="5">#REF!</definedName>
    <definedName name="__hcb20" localSheetId="4">#REF!</definedName>
    <definedName name="__hcb20">#REF!</definedName>
    <definedName name="__len2">'[2] L -1  sub R-bar for 200Kpa '!$F$1:$F$65536</definedName>
    <definedName name="__mbr2">'[2] L -1  sub R-bar for 200Kpa '!$H$1:$H$65536</definedName>
    <definedName name="__rbr2">'[2] L -1  sub R-bar for 200Kpa '!$I$1:$I$65536</definedName>
    <definedName name="__snf300250" localSheetId="5">#REF!</definedName>
    <definedName name="__snf300250" localSheetId="4">#REF!</definedName>
    <definedName name="__snf300250">#REF!</definedName>
    <definedName name="__tms118" localSheetId="5">#REF!</definedName>
    <definedName name="__tms118" localSheetId="4">#REF!</definedName>
    <definedName name="__tms118">#REF!</definedName>
    <definedName name="__tms136" localSheetId="5">#REF!</definedName>
    <definedName name="__tms136" localSheetId="4">#REF!</definedName>
    <definedName name="__tms136">#REF!</definedName>
    <definedName name="__tms236" localSheetId="5">#REF!</definedName>
    <definedName name="__tms236">#REF!</definedName>
    <definedName name="__tmw065136" localSheetId="5">#REF!</definedName>
    <definedName name="__tmw065136">#REF!</definedName>
    <definedName name="_A122816" localSheetId="5">#REF!</definedName>
    <definedName name="_A122816">#REF!</definedName>
    <definedName name="_con25" localSheetId="5">#REF!</definedName>
    <definedName name="_con25">#REF!</definedName>
    <definedName name="_dim03670" localSheetId="5">#REF!</definedName>
    <definedName name="_dim03670">#REF!</definedName>
    <definedName name="_Flr1">'[3]RHS and Lattice purline A-2'!$G$1:$G$65536</definedName>
    <definedName name="_flr2">'[4] L -1  sub R-bar for 200Kpa '!$G$1:$G$65536</definedName>
    <definedName name="_gip1" localSheetId="5">#REF!</definedName>
    <definedName name="_gip1" localSheetId="4">#REF!</definedName>
    <definedName name="_gip1">#REF!</definedName>
    <definedName name="_gip2" localSheetId="5">#REF!</definedName>
    <definedName name="_gip2" localSheetId="4">#REF!</definedName>
    <definedName name="_gip2">#REF!</definedName>
    <definedName name="_hcb20" localSheetId="5">#REF!</definedName>
    <definedName name="_hcb20" localSheetId="4">#REF!</definedName>
    <definedName name="_hcb20">#REF!</definedName>
    <definedName name="_len2">'[4] L -1  sub R-bar for 200Kpa '!$F$1:$F$65536</definedName>
    <definedName name="_MatInverse_In" localSheetId="5">#REF!</definedName>
    <definedName name="_MatInverse_In" localSheetId="4">#REF!</definedName>
    <definedName name="_MatInverse_In" hidden="1">#REF!</definedName>
    <definedName name="_mbr1">'[3]RHS and Lattice purline A-2'!$H$1:$H$65536</definedName>
    <definedName name="_mbr2">'[4] L -1  sub R-bar for 200Kpa '!$H$1:$H$65536</definedName>
    <definedName name="_Order1" hidden="1">255</definedName>
    <definedName name="_rbr2">'[4] L -1  sub R-bar for 200Kpa '!$I$1:$I$65536</definedName>
    <definedName name="_snf300250" localSheetId="5">#REF!</definedName>
    <definedName name="_snf300250" localSheetId="4">#REF!</definedName>
    <definedName name="_snf300250">#REF!</definedName>
    <definedName name="_tms118" localSheetId="5">#REF!</definedName>
    <definedName name="_tms118" localSheetId="4">#REF!</definedName>
    <definedName name="_tms118">#REF!</definedName>
    <definedName name="_tms136" localSheetId="5">#REF!</definedName>
    <definedName name="_tms136" localSheetId="4">#REF!</definedName>
    <definedName name="_tms136">#REF!</definedName>
    <definedName name="_tms236" localSheetId="5">#REF!</definedName>
    <definedName name="_tms236">#REF!</definedName>
    <definedName name="_tmw065136" localSheetId="5">#REF!</definedName>
    <definedName name="_tmw065136">#REF!</definedName>
    <definedName name="a" localSheetId="5">#REF!</definedName>
    <definedName name="a" localSheetId="4">#REF!</definedName>
    <definedName name="a">#REF!</definedName>
    <definedName name="aaaa" localSheetId="5">#REF!</definedName>
    <definedName name="aaaa">#REF!</definedName>
    <definedName name="aaaaa" localSheetId="5">#REF!</definedName>
    <definedName name="aaaaa">#REF!</definedName>
    <definedName name="aaaaaaaa" localSheetId="5">#REF!</definedName>
    <definedName name="aaaaaaaa">#REF!</definedName>
    <definedName name="ABC" localSheetId="5">#REF!</definedName>
    <definedName name="ABC">#REF!</definedName>
    <definedName name="abel" localSheetId="5">#REF!</definedName>
    <definedName name="abel">#REF!</definedName>
    <definedName name="acb10a1p" localSheetId="5">#REF!</definedName>
    <definedName name="acb10a1p">#REF!</definedName>
    <definedName name="acb10a3p" localSheetId="5">#REF!</definedName>
    <definedName name="acb10a3p">#REF!</definedName>
    <definedName name="acb16a1p" localSheetId="5">#REF!</definedName>
    <definedName name="acb16a1p">#REF!</definedName>
    <definedName name="acb16a3p" localSheetId="5">#REF!</definedName>
    <definedName name="acb16a3p">#REF!</definedName>
    <definedName name="acb20a1p" localSheetId="5">#REF!</definedName>
    <definedName name="acb20a1p">#REF!</definedName>
    <definedName name="acb20a3p" localSheetId="5">#REF!</definedName>
    <definedName name="acb20a3p">#REF!</definedName>
    <definedName name="acb25a1p" localSheetId="5">#REF!</definedName>
    <definedName name="acb25a1p">#REF!</definedName>
    <definedName name="acb25a3p" localSheetId="5">#REF!</definedName>
    <definedName name="acb25a3p">#REF!</definedName>
    <definedName name="acb2a1p" localSheetId="5">#REF!</definedName>
    <definedName name="acb2a1p">#REF!</definedName>
    <definedName name="acb32a1p" localSheetId="5">#REF!</definedName>
    <definedName name="acb32a1p">#REF!</definedName>
    <definedName name="acb32a3p" localSheetId="5">#REF!</definedName>
    <definedName name="acb32a3p">#REF!</definedName>
    <definedName name="acb40a1p" localSheetId="5">#REF!</definedName>
    <definedName name="acb40a1p">#REF!</definedName>
    <definedName name="acb40a3p" localSheetId="5">#REF!</definedName>
    <definedName name="acb40a3p">#REF!</definedName>
    <definedName name="acb40a3p2" localSheetId="5">#REF!</definedName>
    <definedName name="acb40a3p2">#REF!</definedName>
    <definedName name="acb50a1p" localSheetId="5">#REF!</definedName>
    <definedName name="acb50a1p">#REF!</definedName>
    <definedName name="acb50a3p" localSheetId="5">#REF!</definedName>
    <definedName name="acb50a3p">#REF!</definedName>
    <definedName name="acb63a1p" localSheetId="5">#REF!</definedName>
    <definedName name="acb63a1p">#REF!</definedName>
    <definedName name="acb63a3p" localSheetId="5">#REF!</definedName>
    <definedName name="acb63a3p">#REF!</definedName>
    <definedName name="acb6a1p" localSheetId="5">#REF!</definedName>
    <definedName name="acb6a1p">#REF!</definedName>
    <definedName name="acb6a3p" localSheetId="5">#REF!</definedName>
    <definedName name="acb6a3p">#REF!</definedName>
    <definedName name="Advance_Repay" localSheetId="5">#REF!</definedName>
    <definedName name="Advance_Repay">#REF!</definedName>
    <definedName name="afdaf" localSheetId="5">#REF!</definedName>
    <definedName name="afdaf">#REF!</definedName>
    <definedName name="airterminal1" localSheetId="5">#REF!</definedName>
    <definedName name="airterminal1">#REF!</definedName>
    <definedName name="analyses" localSheetId="5">#REF!</definedName>
    <definedName name="analyses">#REF!</definedName>
    <definedName name="_xlnm.Print_Area" localSheetId="3">BOQ!$A$1:$F$218</definedName>
    <definedName name="_xlnm.Print_Area" localSheetId="0">'Cover Page'!$A$1:$J$42</definedName>
    <definedName name="_xlnm.Print_Area" localSheetId="1">'preamble to BOQ'!$A$1:$A$41</definedName>
    <definedName name="_xlnm.Print_Area" localSheetId="5">'Re-bar'!$A$1:$O$12</definedName>
    <definedName name="_xlnm.Print_Area" localSheetId="2">Summary!$A$1:$C$35</definedName>
    <definedName name="asdgadg" localSheetId="5">#REF!</definedName>
    <definedName name="asdgadg">#REF!</definedName>
    <definedName name="asfgas" localSheetId="5">#REF!</definedName>
    <definedName name="asfgas">#REF!</definedName>
    <definedName name="b" localSheetId="5">#REF!</definedName>
    <definedName name="b">#REF!</definedName>
    <definedName name="bbbbb" localSheetId="5">#REF!</definedName>
    <definedName name="bbbbb">#REF!</definedName>
    <definedName name="bbbbbbbb" localSheetId="5">#REF!</definedName>
    <definedName name="bbbbbbbb">#REF!</definedName>
    <definedName name="bbbbbbbbbbbbbbbb" localSheetId="5">#REF!</definedName>
    <definedName name="bbbbbbbbbbbbbbbb">#REF!</definedName>
    <definedName name="Beg_Bal" localSheetId="5">#REF!</definedName>
    <definedName name="Beg_Bal">#REF!</definedName>
    <definedName name="bell" localSheetId="5">#REF!</definedName>
    <definedName name="bell">#REF!</definedName>
    <definedName name="bellcallpoint" localSheetId="5">#REF!</definedName>
    <definedName name="bellcallpoint">#REF!</definedName>
    <definedName name="belltransformer" localSheetId="5">#REF!</definedName>
    <definedName name="belltransformer">#REF!</definedName>
    <definedName name="bill" localSheetId="5">#REF!</definedName>
    <definedName name="bill">#REF!</definedName>
    <definedName name="block_range">'[1]A-2 blcok work Res.'!$A$1:$E$65536</definedName>
    <definedName name="Block_Summary" localSheetId="5">#REF!</definedName>
    <definedName name="Block_Summary" localSheetId="4">#REF!</definedName>
    <definedName name="Block_Summary">#REF!</definedName>
    <definedName name="Block_total">'[5]Ar &amp; St'!$M$46</definedName>
    <definedName name="Block_Work">'[1]05 Ar &amp; St'!#REF!</definedName>
    <definedName name="Block_work_range">'[6]E-1 Block Work Residence'!$A$1:$F$65536</definedName>
    <definedName name="Block_work_total">'[1]05 Ar &amp; St'!$M$49</definedName>
    <definedName name="boq" localSheetId="5">#REF!</definedName>
    <definedName name="boq" localSheetId="4">#REF!</definedName>
    <definedName name="boq">#REF!</definedName>
    <definedName name="buzzer" localSheetId="5">#REF!</definedName>
    <definedName name="buzzer" localSheetId="4">#REF!</definedName>
    <definedName name="buzzer">#REF!</definedName>
    <definedName name="bvvhjh" localSheetId="5">#REF!</definedName>
    <definedName name="bvvhjh" localSheetId="4">#REF!</definedName>
    <definedName name="bvvhjh">#REF!</definedName>
    <definedName name="CABLE">[7]price!$G$51</definedName>
    <definedName name="cable2x1.5" localSheetId="5">#REF!</definedName>
    <definedName name="cable2x1.5" localSheetId="4">#REF!</definedName>
    <definedName name="cable2x1.5">#REF!</definedName>
    <definedName name="cable2x10" localSheetId="5">#REF!</definedName>
    <definedName name="cable2x10" localSheetId="4">#REF!</definedName>
    <definedName name="cable2x10">#REF!</definedName>
    <definedName name="cable2x16" localSheetId="5">#REF!</definedName>
    <definedName name="cable2x16" localSheetId="4">#REF!</definedName>
    <definedName name="cable2x16">#REF!</definedName>
    <definedName name="cable2x2.5" localSheetId="5">#REF!</definedName>
    <definedName name="cable2x2.5">#REF!</definedName>
    <definedName name="cable2x4" localSheetId="5">#REF!</definedName>
    <definedName name="cable2x4">#REF!</definedName>
    <definedName name="cable2x6" localSheetId="5">#REF!</definedName>
    <definedName name="cable2x6">#REF!</definedName>
    <definedName name="cable3x1.5" localSheetId="5">#REF!</definedName>
    <definedName name="cable3x1.5">#REF!</definedName>
    <definedName name="cable3x10" localSheetId="5">#REF!</definedName>
    <definedName name="cable3x10">#REF!</definedName>
    <definedName name="cable3x12070" localSheetId="5">#REF!</definedName>
    <definedName name="cable3x12070">#REF!</definedName>
    <definedName name="cable3x15070" localSheetId="5">#REF!</definedName>
    <definedName name="cable3x15070">#REF!</definedName>
    <definedName name="cable3x16" localSheetId="5">#REF!</definedName>
    <definedName name="cable3x16">#REF!</definedName>
    <definedName name="cable3x18595" localSheetId="5">#REF!</definedName>
    <definedName name="cable3x18595">#REF!</definedName>
    <definedName name="cable3x2.5" localSheetId="5">#REF!</definedName>
    <definedName name="cable3x2.5">#REF!</definedName>
    <definedName name="cable3x240120" localSheetId="5">#REF!</definedName>
    <definedName name="cable3x240120">#REF!</definedName>
    <definedName name="cable3x2516" localSheetId="5">#REF!</definedName>
    <definedName name="cable3x2516">#REF!</definedName>
    <definedName name="cable3x300150" localSheetId="5">#REF!</definedName>
    <definedName name="cable3x300150">#REF!</definedName>
    <definedName name="cable3x3516" localSheetId="5">#REF!</definedName>
    <definedName name="cable3x3516">#REF!</definedName>
    <definedName name="cable3x4" localSheetId="5">#REF!</definedName>
    <definedName name="cable3x4">#REF!</definedName>
    <definedName name="cable3x5025" localSheetId="5">#REF!</definedName>
    <definedName name="cable3x5025">#REF!</definedName>
    <definedName name="cable3x6" localSheetId="5">#REF!</definedName>
    <definedName name="cable3x6">#REF!</definedName>
    <definedName name="cable3x7035" localSheetId="5">#REF!</definedName>
    <definedName name="cable3x7035">#REF!</definedName>
    <definedName name="cable3x9550" localSheetId="5">#REF!</definedName>
    <definedName name="cable3x9550">#REF!</definedName>
    <definedName name="cable4x1.5" localSheetId="5">#REF!</definedName>
    <definedName name="cable4x1.5">#REF!</definedName>
    <definedName name="cable4x10" localSheetId="5">#REF!</definedName>
    <definedName name="cable4x10">#REF!</definedName>
    <definedName name="cable4x16" localSheetId="5">#REF!</definedName>
    <definedName name="cable4x16">#REF!</definedName>
    <definedName name="cable4x2.5" localSheetId="5">#REF!</definedName>
    <definedName name="cable4x2.5">#REF!</definedName>
    <definedName name="cable4x4" localSheetId="5">#REF!</definedName>
    <definedName name="cable4x4">#REF!</definedName>
    <definedName name="cable4x6" localSheetId="5">#REF!</definedName>
    <definedName name="cable4x6">#REF!</definedName>
    <definedName name="cabletray200x100" localSheetId="5">#REF!</definedName>
    <definedName name="cabletray200x100">#REF!</definedName>
    <definedName name="cabletray400x100" localSheetId="5">#REF!</definedName>
    <definedName name="cabletray400x100">#REF!</definedName>
    <definedName name="cabletray500x110" localSheetId="5">#REF!</definedName>
    <definedName name="cabletray500x110">#REF!</definedName>
    <definedName name="cabletray500x75" localSheetId="5">#REF!</definedName>
    <definedName name="cabletray500x75">#REF!</definedName>
    <definedName name="callpanel12no" localSheetId="5">#REF!</definedName>
    <definedName name="callpanel12no">#REF!</definedName>
    <definedName name="callpanel16no" localSheetId="5">#REF!</definedName>
    <definedName name="callpanel16no">#REF!</definedName>
    <definedName name="callpanel24no" localSheetId="5">#REF!</definedName>
    <definedName name="callpanel24no">#REF!</definedName>
    <definedName name="callpanel8no" localSheetId="5">#REF!</definedName>
    <definedName name="callpanel8no">#REF!</definedName>
    <definedName name="ccc" localSheetId="5">#REF!</definedName>
    <definedName name="ccc">#REF!</definedName>
    <definedName name="ceiling" localSheetId="5">#REF!</definedName>
    <definedName name="ceiling">#REF!</definedName>
    <definedName name="ceilingglobe" localSheetId="5">#REF!</definedName>
    <definedName name="ceilingglobe">#REF!</definedName>
    <definedName name="cemic" localSheetId="5">#REF!</definedName>
    <definedName name="cemic">#REF!</definedName>
    <definedName name="cisheet" localSheetId="5">#REF!</definedName>
    <definedName name="cisheet">#REF!</definedName>
    <definedName name="Column_Info" localSheetId="5">#REF!</definedName>
    <definedName name="Column_Info">#REF!</definedName>
    <definedName name="Concrete_total">'[8] Ar &amp; St'!$M$39</definedName>
    <definedName name="conductor10" localSheetId="5">#REF!</definedName>
    <definedName name="conductor10" localSheetId="4">#REF!</definedName>
    <definedName name="conductor10">#REF!</definedName>
    <definedName name="conductor16" localSheetId="5">#REF!</definedName>
    <definedName name="conductor16" localSheetId="4">#REF!</definedName>
    <definedName name="conductor16">#REF!</definedName>
    <definedName name="conductor25" localSheetId="5">#REF!</definedName>
    <definedName name="conductor25" localSheetId="4">#REF!</definedName>
    <definedName name="conductor25">#REF!</definedName>
    <definedName name="conductor35" localSheetId="5">#REF!</definedName>
    <definedName name="conductor35">#REF!</definedName>
    <definedName name="conductor4" localSheetId="5">#REF!</definedName>
    <definedName name="conductor4">#REF!</definedName>
    <definedName name="conductor50" localSheetId="5">#REF!</definedName>
    <definedName name="conductor50">#REF!</definedName>
    <definedName name="conductor6" localSheetId="5">#REF!</definedName>
    <definedName name="conductor6">#REF!</definedName>
    <definedName name="conductor70" localSheetId="5">#REF!</definedName>
    <definedName name="conductor70">#REF!</definedName>
    <definedName name="conduit110" localSheetId="5">#REF!</definedName>
    <definedName name="conduit110">#REF!</definedName>
    <definedName name="conduit13.5" localSheetId="5">#REF!</definedName>
    <definedName name="conduit13.5">#REF!</definedName>
    <definedName name="conduit16" localSheetId="5">#REF!</definedName>
    <definedName name="conduit16">#REF!</definedName>
    <definedName name="conduit19" localSheetId="5">#REF!</definedName>
    <definedName name="conduit19">#REF!</definedName>
    <definedName name="conduit20" localSheetId="5">#REF!</definedName>
    <definedName name="conduit20">#REF!</definedName>
    <definedName name="conduit21" localSheetId="5">#REF!</definedName>
    <definedName name="conduit21">#REF!</definedName>
    <definedName name="conduit25" localSheetId="5">#REF!</definedName>
    <definedName name="conduit25">#REF!</definedName>
    <definedName name="conduit29" localSheetId="5">#REF!</definedName>
    <definedName name="conduit29">#REF!</definedName>
    <definedName name="conduit32" localSheetId="5">#REF!</definedName>
    <definedName name="conduit32">#REF!</definedName>
    <definedName name="conduit36" localSheetId="5">#REF!</definedName>
    <definedName name="conduit36">#REF!</definedName>
    <definedName name="conduit40" localSheetId="5">#REF!</definedName>
    <definedName name="conduit40">#REF!</definedName>
    <definedName name="conduit50" localSheetId="5">#REF!</definedName>
    <definedName name="conduit50">#REF!</definedName>
    <definedName name="conduit75" localSheetId="5">#REF!</definedName>
    <definedName name="conduit75">#REF!</definedName>
    <definedName name="CONT_QTY" localSheetId="5">#REF!</definedName>
    <definedName name="CONT_QTY">#REF!</definedName>
    <definedName name="contactor10a3p" localSheetId="5">#REF!</definedName>
    <definedName name="contactor10a3p">#REF!</definedName>
    <definedName name="contactor16a3p" localSheetId="5">#REF!</definedName>
    <definedName name="contactor16a3p">#REF!</definedName>
    <definedName name="contactor25a3p" localSheetId="5">#REF!</definedName>
    <definedName name="contactor25a3p">#REF!</definedName>
    <definedName name="contactor32a3p" localSheetId="5">#REF!</definedName>
    <definedName name="contactor32a3p">#REF!</definedName>
    <definedName name="contactor40a3p" localSheetId="5">#REF!</definedName>
    <definedName name="contactor40a3p">#REF!</definedName>
    <definedName name="contactor60a3p" localSheetId="5">#REF!</definedName>
    <definedName name="contactor60a3p">#REF!</definedName>
    <definedName name="contactor6a3p" localSheetId="5">#REF!</definedName>
    <definedName name="contactor6a3p">#REF!</definedName>
    <definedName name="contactor90a3p" localSheetId="5">#REF!</definedName>
    <definedName name="contactor90a3p">#REF!</definedName>
    <definedName name="ContQTYsb">'[1]05 Sub Structure BC = 300'!$F$1:$F$65536</definedName>
    <definedName name="ContQTYsp">'[1]05 Ar &amp; St'!$F$1:$F$65536</definedName>
    <definedName name="ContQTYspr">'[9]Super BOQ'!$F:$F</definedName>
    <definedName name="coppertape25x3" localSheetId="5">#REF!</definedName>
    <definedName name="coppertape25x3" localSheetId="4">#REF!</definedName>
    <definedName name="coppertape25x3">#REF!</definedName>
    <definedName name="Cum_Int" localSheetId="5">#REF!</definedName>
    <definedName name="Cum_Int" localSheetId="4">#REF!</definedName>
    <definedName name="Cum_Int">#REF!</definedName>
    <definedName name="curt_qty_sub">'[10]Sub Structure BC = 300'!$I$1:$I$65536</definedName>
    <definedName name="curt_qty_subs" localSheetId="5">#REF!</definedName>
    <definedName name="curt_qty_subs" localSheetId="4">#REF!</definedName>
    <definedName name="curt_qty_subs">#REF!</definedName>
    <definedName name="CurtAMTsb">'[1]05 Sub Structure BC = 300'!$L$1:$L$65536</definedName>
    <definedName name="CurtAMTspr">'[1]05 Ar &amp; St'!$L$1:$L$65536</definedName>
    <definedName name="CurtAmtsub2" localSheetId="5">#REF!</definedName>
    <definedName name="CurtAmtsub2" localSheetId="4">#REF!</definedName>
    <definedName name="CurtAmtsub2">#REF!</definedName>
    <definedName name="CurtQTYsb">'[1]05 Sub Structure BC = 300'!$I$1:$I$65536</definedName>
    <definedName name="CurtQTYspr">'[1]05 Ar &amp; St'!$I$1:$I$65536</definedName>
    <definedName name="CurtQtysub2" localSheetId="5">#REF!</definedName>
    <definedName name="CurtQtysub2" localSheetId="4">#REF!</definedName>
    <definedName name="CurtQtysub2">#REF!</definedName>
    <definedName name="czdczc" localSheetId="5">#REF!</definedName>
    <definedName name="czdczc" localSheetId="4">#REF!</definedName>
    <definedName name="czdczc">#REF!</definedName>
    <definedName name="d">'[11] analysis'!$J$64</definedName>
    <definedName name="DALI_8BUTTON" localSheetId="5">#REF!</definedName>
    <definedName name="DALI_8BUTTON" localSheetId="4">#REF!</definedName>
    <definedName name="DALI_8BUTTON">#REF!</definedName>
    <definedName name="DALI_DIMMER" localSheetId="5">#REF!</definedName>
    <definedName name="DALI_DIMMER" localSheetId="4">#REF!</definedName>
    <definedName name="DALI_DIMMER">#REF!</definedName>
    <definedName name="DALI_INFRARED_SENSOR" localSheetId="5">#REF!</definedName>
    <definedName name="DALI_INFRARED_SENSOR" localSheetId="4">#REF!</definedName>
    <definedName name="DALI_INFRARED_SENSOR">#REF!</definedName>
    <definedName name="dali_infraredsensor" localSheetId="5">#REF!</definedName>
    <definedName name="dali_infraredsensor">#REF!</definedName>
    <definedName name="DALI_MULTISENSOR" localSheetId="5">#REF!</definedName>
    <definedName name="DALI_MULTISENSOR">#REF!</definedName>
    <definedName name="DALI_POWERSUPPLY" localSheetId="5">#REF!</definedName>
    <definedName name="DALI_POWERSUPPLY">#REF!</definedName>
    <definedName name="DALI_PROGRAM" localSheetId="5">#REF!</definedName>
    <definedName name="DALI_PROGRAM">#REF!</definedName>
    <definedName name="DALI_RELAY" localSheetId="5">#REF!</definedName>
    <definedName name="DALI_RELAY">#REF!</definedName>
    <definedName name="dali_remote" localSheetId="5">#REF!</definedName>
    <definedName name="dali_remote">#REF!</definedName>
    <definedName name="DALI_SOFTWARE" localSheetId="5">#REF!</definedName>
    <definedName name="DALI_SOFTWARE">#REF!</definedName>
    <definedName name="Data" localSheetId="5">#REF!</definedName>
    <definedName name="Data">#REF!</definedName>
    <definedName name="data_telecom" localSheetId="5">#REF!</definedName>
    <definedName name="data_telecom">#REF!</definedName>
    <definedName name="Dayworks" localSheetId="5">#REF!</definedName>
    <definedName name="Dayworks">#REF!</definedName>
    <definedName name="Dayworks10" localSheetId="5">#REF!</definedName>
    <definedName name="Dayworks10">#REF!</definedName>
    <definedName name="Dayworks11" localSheetId="5">#REF!</definedName>
    <definedName name="Dayworks11">#REF!</definedName>
    <definedName name="Dayworks12" localSheetId="5">#REF!</definedName>
    <definedName name="Dayworks12">#REF!</definedName>
    <definedName name="Dayworks13" localSheetId="5">#REF!</definedName>
    <definedName name="Dayworks13">#REF!</definedName>
    <definedName name="Dayworks14" localSheetId="5">#REF!</definedName>
    <definedName name="Dayworks14">#REF!</definedName>
    <definedName name="Dayworks15" localSheetId="5">#REF!</definedName>
    <definedName name="Dayworks15">#REF!</definedName>
    <definedName name="Dayworks16" localSheetId="5">#REF!</definedName>
    <definedName name="Dayworks16">#REF!</definedName>
    <definedName name="Dayworks2" localSheetId="5">#REF!</definedName>
    <definedName name="Dayworks2">#REF!</definedName>
    <definedName name="Dayworks3" localSheetId="5">#REF!</definedName>
    <definedName name="Dayworks3">#REF!</definedName>
    <definedName name="Dayworks4" localSheetId="5">#REF!</definedName>
    <definedName name="Dayworks4">#REF!</definedName>
    <definedName name="Dayworks5" localSheetId="5">#REF!</definedName>
    <definedName name="Dayworks5">#REF!</definedName>
    <definedName name="Dayworks6" localSheetId="5">#REF!</definedName>
    <definedName name="Dayworks6">#REF!</definedName>
    <definedName name="Dayworks7" localSheetId="5">#REF!</definedName>
    <definedName name="Dayworks7">#REF!</definedName>
    <definedName name="Dayworks8" localSheetId="5">#REF!</definedName>
    <definedName name="Dayworks8">#REF!</definedName>
    <definedName name="Dayworks9" localSheetId="5">#REF!</definedName>
    <definedName name="Dayworks9">#REF!</definedName>
    <definedName name="dddd" localSheetId="5">#REF!</definedName>
    <definedName name="dddd">#REF!</definedName>
    <definedName name="dddddddd" localSheetId="5">#REF!</definedName>
    <definedName name="dddddddd">#REF!</definedName>
    <definedName name="ddsss" localSheetId="5">#REF!</definedName>
    <definedName name="ddsss">#REF!</definedName>
    <definedName name="Depth_of_Bulk" localSheetId="5">'[12]Solomon Weldu A2,E1-FevV'!#REF!</definedName>
    <definedName name="Depth_of_Bulk">'[12]Solomon Weldu A2,E1-FevV'!#REF!</definedName>
    <definedName name="df" localSheetId="5">#REF!</definedName>
    <definedName name="df" localSheetId="4">#REF!</definedName>
    <definedName name="df">#REF!</definedName>
    <definedName name="Dia" localSheetId="5">#REF!</definedName>
    <definedName name="Dia" localSheetId="4">#REF!</definedName>
    <definedName name="Dia">#REF!</definedName>
    <definedName name="dilla1" localSheetId="5">#REF!</definedName>
    <definedName name="dilla1" localSheetId="4">#REF!</definedName>
    <definedName name="dilla1">#REF!</definedName>
    <definedName name="dimmerswitch1200w" localSheetId="5">#REF!</definedName>
    <definedName name="dimmerswitch1200w">#REF!</definedName>
    <definedName name="dimmerswitch2000w" localSheetId="5">#REF!</definedName>
    <definedName name="dimmerswitch2000w">#REF!</definedName>
    <definedName name="dimmerswitch300w" localSheetId="5">#REF!</definedName>
    <definedName name="dimmerswitch300w">#REF!</definedName>
    <definedName name="Door">'[13]Windows and Doors'!$A$5:$Y$10</definedName>
    <definedName name="doorswitchpoint" localSheetId="5">#REF!</definedName>
    <definedName name="doorswitchpoint" localSheetId="4">#REF!</definedName>
    <definedName name="doorswitchpoint">#REF!</definedName>
    <definedName name="doubleswitch" localSheetId="5">#REF!</definedName>
    <definedName name="doubleswitch" localSheetId="4">#REF!</definedName>
    <definedName name="doubleswitch">#REF!</definedName>
    <definedName name="doubletwowayswitch" localSheetId="5">#REF!</definedName>
    <definedName name="doubletwowayswitch" localSheetId="4">#REF!</definedName>
    <definedName name="doubletwowayswitch">#REF!</definedName>
    <definedName name="e">'[11] analysis'!$J$64</definedName>
    <definedName name="Earth_W" localSheetId="5">#REF!</definedName>
    <definedName name="Earth_W" localSheetId="4">#REF!</definedName>
    <definedName name="Earth_W">#REF!</definedName>
    <definedName name="Earth_work">'[1]05 Sub Structure BC = 300'!$M$24</definedName>
    <definedName name="earthrod1200x16" localSheetId="5">#REF!</definedName>
    <definedName name="earthrod1200x16" localSheetId="4">#REF!</definedName>
    <definedName name="earthrod1200x16">#REF!</definedName>
    <definedName name="earthrod2400x16" localSheetId="5">#REF!</definedName>
    <definedName name="earthrod2400x16" localSheetId="4">#REF!</definedName>
    <definedName name="earthrod2400x16">#REF!</definedName>
    <definedName name="eeeee" localSheetId="5">#REF!</definedName>
    <definedName name="eeeee" localSheetId="4">#REF!</definedName>
    <definedName name="eeeee">#REF!</definedName>
    <definedName name="eere343" localSheetId="5">#REF!</definedName>
    <definedName name="eere343">#REF!</definedName>
    <definedName name="End_Bal" localSheetId="5">#REF!</definedName>
    <definedName name="End_Bal">#REF!</definedName>
    <definedName name="Equip">'[14]Equipment data'!$B$9:$B$31</definedName>
    <definedName name="ergerh" localSheetId="5">#REF!</definedName>
    <definedName name="ergerh" localSheetId="4">#REF!</definedName>
    <definedName name="ergerh">#REF!</definedName>
    <definedName name="Excavation">'[15] E2 Res (EXC&amp;MAS200kp)'!$A$1:$E$65536</definedName>
    <definedName name="Extra_Pay" localSheetId="5">#REF!</definedName>
    <definedName name="Extra_Pay" localSheetId="4">#REF!</definedName>
    <definedName name="Extra_Pay">#REF!</definedName>
    <definedName name="F">'[9]Supr Rebar'!$G:$G</definedName>
    <definedName name="fasdf">'[13]BOQ Ar &amp; St'!$F$1:$F$65536</definedName>
    <definedName name="fefeef">'[1]05 RB A-2 300kp Res. Sub St.'!#REF!</definedName>
    <definedName name="fffff" localSheetId="5">#REF!</definedName>
    <definedName name="fffff" localSheetId="4">#REF!</definedName>
    <definedName name="fffff">#REF!</definedName>
    <definedName name="ffffff" localSheetId="5">#REF!</definedName>
    <definedName name="ffffff" localSheetId="4">#REF!</definedName>
    <definedName name="ffffff">#REF!</definedName>
    <definedName name="ffffffffffffffff" localSheetId="5">#REF!</definedName>
    <definedName name="ffffffffffffffff" localSheetId="4">#REF!</definedName>
    <definedName name="ffffffffffffffff">#REF!</definedName>
    <definedName name="ffsfssfsg" localSheetId="5">#REF!</definedName>
    <definedName name="ffsfssfsg">#REF!</definedName>
    <definedName name="ffsgsg" localSheetId="5">#REF!</definedName>
    <definedName name="ffsgsg">#REF!</definedName>
    <definedName name="fhjf" localSheetId="5">#REF!</definedName>
    <definedName name="fhjf">#REF!</definedName>
    <definedName name="ficotp" localSheetId="5">#REF!</definedName>
    <definedName name="ficotp">#REF!</definedName>
    <definedName name="Finishing" localSheetId="5">'[1]05 Ar &amp; St'!#REF!</definedName>
    <definedName name="Finishing">'[1]05 Ar &amp; St'!#REF!</definedName>
    <definedName name="Finishing_60">'[16]05 A-2 300kp Res. Sup St.'!$A$1:$F$65536</definedName>
    <definedName name="Finishing_range" localSheetId="5">#REF!</definedName>
    <definedName name="Finishing_range" localSheetId="4">#REF!</definedName>
    <definedName name="Finishing_range">#REF!</definedName>
    <definedName name="Finishing_total" localSheetId="5">#REF!</definedName>
    <definedName name="Finishing_total" localSheetId="4">#REF!</definedName>
    <definedName name="Finishing_total">#REF!</definedName>
    <definedName name="Finisning_total" localSheetId="5">'[5]Ar &amp; St'!#REF!</definedName>
    <definedName name="Finisning_total" localSheetId="4">'[5]Ar &amp; St'!#REF!</definedName>
    <definedName name="Finisning_total">'[5]Ar &amp; St'!#REF!</definedName>
    <definedName name="firealarmcontrolpanel" localSheetId="5">#REF!</definedName>
    <definedName name="firealarmcontrolpanel" localSheetId="4">#REF!</definedName>
    <definedName name="firealarmcontrolpanel">#REF!</definedName>
    <definedName name="floatswitch" localSheetId="5">#REF!</definedName>
    <definedName name="floatswitch" localSheetId="4">#REF!</definedName>
    <definedName name="floatswitch">#REF!</definedName>
    <definedName name="floorbox" localSheetId="5">#REF!</definedName>
    <definedName name="floorbox" localSheetId="4">#REF!</definedName>
    <definedName name="floorbox">#REF!</definedName>
    <definedName name="flortil" localSheetId="5">#REF!</definedName>
    <definedName name="flortil">#REF!</definedName>
    <definedName name="Flr">'[13]Sub-Structure Rein'!$G$1:$G$65536</definedName>
    <definedName name="flushpanel12acb" localSheetId="5">#REF!</definedName>
    <definedName name="flushpanel12acb" localSheetId="4">#REF!</definedName>
    <definedName name="flushpanel12acb">#REF!</definedName>
    <definedName name="flushpanel15acb" localSheetId="5">#REF!</definedName>
    <definedName name="flushpanel15acb" localSheetId="4">#REF!</definedName>
    <definedName name="flushpanel15acb">#REF!</definedName>
    <definedName name="flushpanel24acb" localSheetId="5">#REF!</definedName>
    <definedName name="flushpanel24acb" localSheetId="4">#REF!</definedName>
    <definedName name="flushpanel24acb">#REF!</definedName>
    <definedName name="flushpanel36acb" localSheetId="5">#REF!</definedName>
    <definedName name="flushpanel36acb">#REF!</definedName>
    <definedName name="flushpanel48acb" localSheetId="5">#REF!</definedName>
    <definedName name="flushpanel48acb">#REF!</definedName>
    <definedName name="flushpanel4acb" localSheetId="5">#REF!</definedName>
    <definedName name="flushpanel4acb">#REF!</definedName>
    <definedName name="flushpanel6acb" localSheetId="5">#REF!</definedName>
    <definedName name="flushpanel6acb">#REF!</definedName>
    <definedName name="flushpanel8acb" localSheetId="5">#REF!</definedName>
    <definedName name="flushpanel8acb">#REF!</definedName>
    <definedName name="Footing_Type1" localSheetId="5">#REF!</definedName>
    <definedName name="Footing_Type1">#REF!</definedName>
    <definedName name="formw" localSheetId="5">#REF!</definedName>
    <definedName name="formw">#REF!</definedName>
    <definedName name="fr">'[17] Rebar. C '!$G$8:$G$64988</definedName>
    <definedName name="ftt" localSheetId="5">#REF!</definedName>
    <definedName name="ftt" localSheetId="4">#REF!</definedName>
    <definedName name="ftt">#REF!</definedName>
    <definedName name="Full_Print" localSheetId="5">#REF!</definedName>
    <definedName name="Full_Print" localSheetId="4">#REF!</definedName>
    <definedName name="Full_Print">#REF!</definedName>
    <definedName name="fusedswitch125a3p" localSheetId="5">#REF!</definedName>
    <definedName name="fusedswitch125a3p" localSheetId="4">#REF!</definedName>
    <definedName name="fusedswitch125a3p">#REF!</definedName>
    <definedName name="fusedswitch250a3p" localSheetId="5">#REF!</definedName>
    <definedName name="fusedswitch250a3p">#REF!</definedName>
    <definedName name="fusedswitch4003p" localSheetId="5">#REF!</definedName>
    <definedName name="fusedswitch4003p">#REF!</definedName>
    <definedName name="fusedswitch630a3p" localSheetId="5">#REF!</definedName>
    <definedName name="fusedswitch630a3p">#REF!</definedName>
    <definedName name="fusedswitch63a3p" localSheetId="5">#REF!</definedName>
    <definedName name="fusedswitch63a3p">#REF!</definedName>
    <definedName name="g" localSheetId="5">#REF!</definedName>
    <definedName name="g">#REF!</definedName>
    <definedName name="gddhdhdh" localSheetId="5">#REF!</definedName>
    <definedName name="gddhdhdh">#REF!</definedName>
    <definedName name="gegege" localSheetId="5">#REF!</definedName>
    <definedName name="gegege">#REF!</definedName>
    <definedName name="GFG" localSheetId="5">#REF!</definedName>
    <definedName name="GFG">#REF!</definedName>
    <definedName name="gfgfgfgfh" localSheetId="5">#REF!</definedName>
    <definedName name="gfgfgfgfh">#REF!</definedName>
    <definedName name="gg" localSheetId="5">#REF!</definedName>
    <definedName name="gg">#REF!</definedName>
    <definedName name="ggggg">'[17]Block A Rebar'!$F$8:$F$65276</definedName>
    <definedName name="gggggg">'[17]Block A Rebar'!$F$8:$F$65283</definedName>
    <definedName name="gggggggggggg" localSheetId="5">#REF!</definedName>
    <definedName name="gggggggggggg" localSheetId="4">#REF!</definedName>
    <definedName name="gggggggggggg">#REF!</definedName>
    <definedName name="gh" localSheetId="5">#REF!</definedName>
    <definedName name="gh" localSheetId="4">#REF!</definedName>
    <definedName name="gh">#REF!</definedName>
    <definedName name="ghg" localSheetId="5">#REF!</definedName>
    <definedName name="ghg" localSheetId="4">#REF!</definedName>
    <definedName name="ghg">#REF!</definedName>
    <definedName name="GINSHO" localSheetId="5">#REF!</definedName>
    <definedName name="GINSHO">#REF!</definedName>
    <definedName name="gip0.5" localSheetId="5">#REF!</definedName>
    <definedName name="gip0.5">#REF!</definedName>
    <definedName name="gip0.75" localSheetId="5">#REF!</definedName>
    <definedName name="gip0.75">#REF!</definedName>
    <definedName name="glaz" localSheetId="5">#REF!</definedName>
    <definedName name="glaz">#REF!</definedName>
    <definedName name="glz">'[18]A2 for above 3rd floor'!$G$140</definedName>
    <definedName name="gslabc20" localSheetId="5">#REF!</definedName>
    <definedName name="gslabc20" localSheetId="4">#REF!</definedName>
    <definedName name="gslabc20">#REF!</definedName>
    <definedName name="h" localSheetId="5">#REF!</definedName>
    <definedName name="h" localSheetId="4">#REF!</definedName>
    <definedName name="h">#REF!</definedName>
    <definedName name="hard" localSheetId="5">#REF!</definedName>
    <definedName name="hard" localSheetId="4">#REF!</definedName>
    <definedName name="hard">#REF!</definedName>
    <definedName name="Header_Row">ROW(#REF!)</definedName>
    <definedName name="Height_b_n_FFL_and_Bottom_of_Pit1" localSheetId="5">#REF!</definedName>
    <definedName name="Height_b_n_FFL_and_Bottom_of_Pit1">#REF!</definedName>
    <definedName name="Height_b_n_Profile_and_Bottom_of_Pit1" localSheetId="5">#REF!</definedName>
    <definedName name="Height_b_n_Profile_and_Bottom_of_Pit1">#REF!</definedName>
    <definedName name="Height_b_n_Profile_and_FFL1" localSheetId="5">#REF!</definedName>
    <definedName name="Height_b_n_Profile_and_FFL1">#REF!</definedName>
    <definedName name="Height_b_n_Profile_and_NGL1" localSheetId="5">#REF!</definedName>
    <definedName name="Height_b_n_Profile_and_NGL1">#REF!</definedName>
    <definedName name="Height_b_n_Profile_and_RGL1" localSheetId="5">#REF!</definedName>
    <definedName name="Height_b_n_Profile_and_RGL1">#REF!</definedName>
    <definedName name="hfhfgh" localSheetId="5">#REF!</definedName>
    <definedName name="hfhfgh">#REF!</definedName>
    <definedName name="hfhfhfhff" localSheetId="5">#REF!</definedName>
    <definedName name="hfhfhfhff">#REF!</definedName>
    <definedName name="hfhfhhf" localSheetId="5">#REF!</definedName>
    <definedName name="hfhfhhf">#REF!</definedName>
    <definedName name="hfjdfhjkahfkaj" localSheetId="5">#REF!</definedName>
    <definedName name="hfjdfhjkahfkaj">#REF!</definedName>
    <definedName name="hghgh" localSheetId="5">#REF!</definedName>
    <definedName name="hghgh">#REF!</definedName>
    <definedName name="hh" localSheetId="5">#REF!</definedName>
    <definedName name="hh">#REF!</definedName>
    <definedName name="hhg_bcgf">'[1]05 Ar &amp; St'!#REF!</definedName>
    <definedName name="hhh" localSheetId="5">#REF!</definedName>
    <definedName name="hhh" localSheetId="4">#REF!</definedName>
    <definedName name="hhh">#REF!</definedName>
    <definedName name="hhhh" localSheetId="5">#REF!</definedName>
    <definedName name="hhhh" localSheetId="4">#REF!</definedName>
    <definedName name="hhhh">#REF!</definedName>
    <definedName name="hhhhh" localSheetId="5">#REF!</definedName>
    <definedName name="hhhhh" localSheetId="4">#REF!</definedName>
    <definedName name="hhhhh">#REF!</definedName>
    <definedName name="hhhhhh">'[17]Block A Rebar'!$H$8:$H$65275</definedName>
    <definedName name="hhjkljkljljklj" localSheetId="5">#REF!</definedName>
    <definedName name="hhjkljkljljklj" localSheetId="4">#REF!</definedName>
    <definedName name="hhjkljkljljklj">#REF!</definedName>
    <definedName name="hilina" localSheetId="5">#REF!</definedName>
    <definedName name="hilina" localSheetId="4">#REF!</definedName>
    <definedName name="hilina">#REF!</definedName>
    <definedName name="hjcgj">'[17]Block A Rebar'!$F$8:$F$66161</definedName>
    <definedName name="hjfhjfhjfjh" localSheetId="5">#REF!</definedName>
    <definedName name="hjfhjfhjfjh" localSheetId="4">#REF!</definedName>
    <definedName name="hjfhjfhjfjh">#REF!</definedName>
    <definedName name="hjgfnsdfd" localSheetId="5">#REF!</definedName>
    <definedName name="hjgfnsdfd" localSheetId="4">#REF!</definedName>
    <definedName name="hjgfnsdfd">#REF!</definedName>
    <definedName name="Int" localSheetId="5">#REF!</definedName>
    <definedName name="Int" localSheetId="4">#REF!</definedName>
    <definedName name="Int">#REF!</definedName>
    <definedName name="Interest_Rate" localSheetId="5">#REF!</definedName>
    <definedName name="Interest_Rate">#REF!</definedName>
    <definedName name="intermediateswitch" localSheetId="5">#REF!</definedName>
    <definedName name="intermediateswitch">#REF!</definedName>
    <definedName name="international" localSheetId="5">#REF!</definedName>
    <definedName name="international">#REF!</definedName>
    <definedName name="jfhjfjhjf" localSheetId="5">#REF!</definedName>
    <definedName name="jfhjfjhjf">#REF!</definedName>
    <definedName name="jfhjhfjhfjhj" localSheetId="5">#REF!</definedName>
    <definedName name="jfhjhfjhfjhj">#REF!</definedName>
    <definedName name="jfjfhh" localSheetId="5">#REF!</definedName>
    <definedName name="jfjfhh">#REF!</definedName>
    <definedName name="jgjgjgj">'[17]Block A Rebar'!$F$8:$F$66053</definedName>
    <definedName name="jhfhhffhd">'[1]05 Ar &amp; St'!#REF!</definedName>
    <definedName name="jjj" localSheetId="5">#REF!</definedName>
    <definedName name="jjj" localSheetId="4">#REF!</definedName>
    <definedName name="jjj">#REF!</definedName>
    <definedName name="jjjkjkj" localSheetId="5">#REF!</definedName>
    <definedName name="jjjkjkj" localSheetId="4">#REF!</definedName>
    <definedName name="jjjkjkj">#REF!</definedName>
    <definedName name="jkkkk" localSheetId="5">#REF!</definedName>
    <definedName name="jkkkk" localSheetId="4">#REF!</definedName>
    <definedName name="jkkkk">#REF!</definedName>
    <definedName name="jnry">'[18]A2 for above 3rd floor'!$G$56</definedName>
    <definedName name="Joinery">'[1]05 Ar &amp; St'!#REF!</definedName>
    <definedName name="jtvjbkn" localSheetId="5">#REF!</definedName>
    <definedName name="jtvjbkn" localSheetId="4">#REF!</definedName>
    <definedName name="jtvjbkn">#REF!</definedName>
    <definedName name="KASSAYE" localSheetId="5">#REF!</definedName>
    <definedName name="KASSAYE" localSheetId="4">#REF!</definedName>
    <definedName name="KASSAYE">#REF!</definedName>
    <definedName name="kk" localSheetId="5">#REF!</definedName>
    <definedName name="kk" localSheetId="4">#REF!</definedName>
    <definedName name="kk">#REF!</definedName>
    <definedName name="kkk" localSheetId="5">#REF!</definedName>
    <definedName name="kkk">#REF!</definedName>
    <definedName name="kkkkk" localSheetId="5">'[12]Solomon Weldu A2,E1-FevV'!#REF!</definedName>
    <definedName name="kkkkk">'[12]Solomon Weldu A2,E1-FevV'!#REF!</definedName>
    <definedName name="kkkkkk" localSheetId="5">'[19]Sub Structure BC = 200'!#REF!</definedName>
    <definedName name="kkkkkk">'[19]Sub Structure BC = 200'!#REF!</definedName>
    <definedName name="KWH32A1P" localSheetId="5">#REF!</definedName>
    <definedName name="KWH32A1P" localSheetId="4">#REF!</definedName>
    <definedName name="KWH32A1P">#REF!</definedName>
    <definedName name="kwh63a1p" localSheetId="5">#REF!</definedName>
    <definedName name="kwh63a1p" localSheetId="4">#REF!</definedName>
    <definedName name="kwh63a1p">#REF!</definedName>
    <definedName name="KWH63A3P" localSheetId="5">#REF!</definedName>
    <definedName name="KWH63A3P" localSheetId="4">#REF!</definedName>
    <definedName name="KWH63A3P">#REF!</definedName>
    <definedName name="Landscaping" localSheetId="5">'[1]05 Ar &amp; St'!#REF!</definedName>
    <definedName name="Landscaping" localSheetId="4">'[1]05 Ar &amp; St'!#REF!</definedName>
    <definedName name="Landscaping">'[1]05 Ar &amp; St'!#REF!</definedName>
    <definedName name="Last_Row" localSheetId="5">IF('Re-bar'!Values_Entered,Header_Row+'Re-bar'!Number_of_Payments,Header_Row)</definedName>
    <definedName name="Last_Row" localSheetId="4">IF('TO-1'!Values_Entered,Header_Row+'TO-1'!Number_of_Payments,Header_Row)</definedName>
    <definedName name="Last_Row">IF(Values_Entered,Header_Row+Number_of_Payments,Header_Row)</definedName>
    <definedName name="latch" localSheetId="5">#REF!</definedName>
    <definedName name="latch" localSheetId="4">#REF!</definedName>
    <definedName name="latch">#REF!</definedName>
    <definedName name="ldsp">'[18]A2 for above 3rd floor'!$G$145</definedName>
    <definedName name="Length">'[13]Sub-Structure Rein'!$F$1:$F$65536</definedName>
    <definedName name="length1">'[3]RHS and Lattice purline A-2'!$F$1:$F$65536</definedName>
    <definedName name="lightpoint" localSheetId="5">#REF!</definedName>
    <definedName name="lightpoint" localSheetId="4">#REF!</definedName>
    <definedName name="lightpoint">#REF!</definedName>
    <definedName name="llll" localSheetId="5">#REF!</definedName>
    <definedName name="llll" localSheetId="4">#REF!</definedName>
    <definedName name="llll">#REF!</definedName>
    <definedName name="lllllll" localSheetId="5">#REF!</definedName>
    <definedName name="lllllll" localSheetId="4">#REF!</definedName>
    <definedName name="lllllll">#REF!</definedName>
    <definedName name="LNG">'[9]Supr Rebar'!$F:$F</definedName>
    <definedName name="Loan_Amount" localSheetId="5">#REF!</definedName>
    <definedName name="Loan_Amount" localSheetId="4">#REF!</definedName>
    <definedName name="Loan_Amount">#REF!</definedName>
    <definedName name="Loan_Start" localSheetId="5">#REF!</definedName>
    <definedName name="Loan_Start" localSheetId="4">#REF!</definedName>
    <definedName name="Loan_Start">#REF!</definedName>
    <definedName name="Loan_Years" localSheetId="5">#REF!</definedName>
    <definedName name="Loan_Years" localSheetId="4">#REF!</definedName>
    <definedName name="Loan_Years">#REF!</definedName>
    <definedName name="lot" localSheetId="5">#REF!</definedName>
    <definedName name="lot">#REF!</definedName>
    <definedName name="M">'[9]Supr Rebar'!$H:$H</definedName>
    <definedName name="masa" localSheetId="5">#REF!</definedName>
    <definedName name="masa" localSheetId="4">#REF!</definedName>
    <definedName name="masa">#REF!</definedName>
    <definedName name="masb" localSheetId="5">#REF!</definedName>
    <definedName name="masb" localSheetId="4">#REF!</definedName>
    <definedName name="masb">#REF!</definedName>
    <definedName name="Masonry_Work">'[1]05 Sub Structure BC = 300'!$M$62</definedName>
    <definedName name="Mbr">'[13]Sub-Structure Rein'!$H$1:$H$65536</definedName>
    <definedName name="mccb1000a3p" localSheetId="5">#REF!</definedName>
    <definedName name="mccb1000a3p" localSheetId="4">#REF!</definedName>
    <definedName name="mccb1000a3p">#REF!</definedName>
    <definedName name="mccb100a3p" localSheetId="5">#REF!</definedName>
    <definedName name="mccb100a3p" localSheetId="4">#REF!</definedName>
    <definedName name="mccb100a3p">#REF!</definedName>
    <definedName name="mccb1250a3p" localSheetId="5">#REF!</definedName>
    <definedName name="mccb1250a3p" localSheetId="4">#REF!</definedName>
    <definedName name="mccb1250a3p">#REF!</definedName>
    <definedName name="mccb125a3p" localSheetId="5">#REF!</definedName>
    <definedName name="mccb125a3p">#REF!</definedName>
    <definedName name="mccb1600a3p" localSheetId="5">#REF!</definedName>
    <definedName name="mccb1600a3p">#REF!</definedName>
    <definedName name="mccb160a3p" localSheetId="5">#REF!</definedName>
    <definedName name="mccb160a3p">#REF!</definedName>
    <definedName name="mccb200a3p" localSheetId="5">#REF!</definedName>
    <definedName name="mccb200a3p">#REF!</definedName>
    <definedName name="mccb250a3p" localSheetId="5">#REF!</definedName>
    <definedName name="mccb250a3p">#REF!</definedName>
    <definedName name="mccb315a3p" localSheetId="5">#REF!</definedName>
    <definedName name="mccb315a3p">#REF!</definedName>
    <definedName name="mccb350a3p" localSheetId="5">#REF!</definedName>
    <definedName name="mccb350a3p">#REF!</definedName>
    <definedName name="mccb400a3p" localSheetId="5">#REF!</definedName>
    <definedName name="mccb400a3p">#REF!</definedName>
    <definedName name="mccb500a3p" localSheetId="5">#REF!</definedName>
    <definedName name="mccb500a3p">#REF!</definedName>
    <definedName name="mccb630a3p" localSheetId="5">#REF!</definedName>
    <definedName name="mccb630a3p">#REF!</definedName>
    <definedName name="mccb80a3p" localSheetId="5">#REF!</definedName>
    <definedName name="mccb80a3p">#REF!</definedName>
    <definedName name="Metal_Work" localSheetId="5">'[1]05 Ar &amp; St'!#REF!</definedName>
    <definedName name="Metal_Work">'[1]05 Ar &amp; St'!#REF!</definedName>
    <definedName name="MEWD" localSheetId="5">#REF!</definedName>
    <definedName name="MEWD" localSheetId="4">#REF!</definedName>
    <definedName name="MEWD">#REF!</definedName>
    <definedName name="mh" localSheetId="5">'[1]05 Ar &amp; St'!#REF!</definedName>
    <definedName name="mh" localSheetId="4">'[1]05 Ar &amp; St'!#REF!</definedName>
    <definedName name="mh">'[1]05 Ar &amp; St'!#REF!</definedName>
    <definedName name="mmm" localSheetId="5">#REF!</definedName>
    <definedName name="mmm" localSheetId="4">#REF!</definedName>
    <definedName name="mmm">#REF!</definedName>
    <definedName name="mmmmmm" localSheetId="5">#REF!</definedName>
    <definedName name="mmmmmm" localSheetId="4">#REF!</definedName>
    <definedName name="mmmmmm">#REF!</definedName>
    <definedName name="movement_sensor" localSheetId="5">#REF!</definedName>
    <definedName name="movement_sensor" localSheetId="4">#REF!</definedName>
    <definedName name="movement_sensor">#REF!</definedName>
    <definedName name="MR">'[20]communal sub r-bar'!$H$1:$H$65536</definedName>
    <definedName name="mtl">'[18]A2 for above 3rd floor'!$G$74</definedName>
    <definedName name="nbnnnb" localSheetId="5">#REF!</definedName>
    <definedName name="nbnnnb" localSheetId="4">#REF!</definedName>
    <definedName name="nbnnnb">#REF!</definedName>
    <definedName name="new">'[21] analysis'!$J$64</definedName>
    <definedName name="NEWR">'[21] analysis'!$J$64</definedName>
    <definedName name="nnbnbnbnbc" localSheetId="5">#REF!</definedName>
    <definedName name="nnbnbnbnbc" localSheetId="4">#REF!</definedName>
    <definedName name="nnbnbnbnbc">#REF!</definedName>
    <definedName name="nnnnc" localSheetId="5">#REF!</definedName>
    <definedName name="nnnnc" localSheetId="4">#REF!</definedName>
    <definedName name="nnnnc">#REF!</definedName>
    <definedName name="nnnnnn" localSheetId="5">'[1]05 Ar &amp; St'!#REF!</definedName>
    <definedName name="nnnnnn" localSheetId="4">'[1]05 Ar &amp; St'!#REF!</definedName>
    <definedName name="nnnnnn">'[1]05 Ar &amp; St'!#REF!</definedName>
    <definedName name="Num_Pmt_Per_Year" localSheetId="5">#REF!</definedName>
    <definedName name="Num_Pmt_Per_Year" localSheetId="4">#REF!</definedName>
    <definedName name="Num_Pmt_Per_Year">#REF!</definedName>
    <definedName name="Number_of_Payments" localSheetId="5">MATCH(0.01,'Re-bar'!End_Bal,-1)+1</definedName>
    <definedName name="Number_of_Payments" localSheetId="4">MATCH(0.01,End_Bal,-1)+1</definedName>
    <definedName name="Number_of_Payments">MATCH(0.01,End_Bal,-1)+1</definedName>
    <definedName name="nvnvnvnv" localSheetId="5">#REF!</definedName>
    <definedName name="nvnvnvnv" localSheetId="4">#REF!</definedName>
    <definedName name="nvnvnvnv">#REF!</definedName>
    <definedName name="pacific095136" localSheetId="5">#REF!</definedName>
    <definedName name="pacific095136" localSheetId="4">#REF!</definedName>
    <definedName name="pacific095136">#REF!</definedName>
    <definedName name="pacific095236" localSheetId="5">#REF!</definedName>
    <definedName name="pacific095236" localSheetId="4">#REF!</definedName>
    <definedName name="pacific095236">#REF!</definedName>
    <definedName name="paint" localSheetId="5">#REF!</definedName>
    <definedName name="paint">#REF!</definedName>
    <definedName name="Pay_Date" localSheetId="5">#REF!</definedName>
    <definedName name="Pay_Date">#REF!</definedName>
    <definedName name="Pay_Num" localSheetId="5">#REF!</definedName>
    <definedName name="Pay_Num">#REF!</definedName>
    <definedName name="Payment_Date" localSheetId="5">DATE(YEAR('Re-bar'!Loan_Start),MONTH('Re-bar'!Loan_Start)+Payment_Number,DAY('Re-bar'!Loan_Start))</definedName>
    <definedName name="Payment_Date" localSheetId="4">DATE(YEAR('TO-1'!Loan_Start),MONTH('TO-1'!Loan_Start)+Payment_Number,DAY('TO-1'!Loan_Start))</definedName>
    <definedName name="Payment_Date">DATE(YEAR(Loan_Start),MONTH(Loan_Start)+Payment_Number,DAY(Loan_Start))</definedName>
    <definedName name="photocell" localSheetId="5">#REF!</definedName>
    <definedName name="photocell" localSheetId="4">#REF!</definedName>
    <definedName name="photocell">#REF!</definedName>
    <definedName name="plate_range" localSheetId="5">#REF!</definedName>
    <definedName name="plate_range" localSheetId="4">#REF!</definedName>
    <definedName name="plate_range">#REF!</definedName>
    <definedName name="Plates" localSheetId="5">#REF!</definedName>
    <definedName name="Plates" localSheetId="4">#REF!</definedName>
    <definedName name="Plates">#REF!</definedName>
    <definedName name="pnt">'[18]A2 for above 3rd floor'!$G$134</definedName>
    <definedName name="po" localSheetId="5">#REF!</definedName>
    <definedName name="po" localSheetId="4">#REF!</definedName>
    <definedName name="po">#REF!</definedName>
    <definedName name="point" localSheetId="5">#REF!</definedName>
    <definedName name="point" localSheetId="4">#REF!</definedName>
    <definedName name="point">#REF!</definedName>
    <definedName name="POOOOOOOO" localSheetId="5">#REF!</definedName>
    <definedName name="POOOOOOOO" localSheetId="4">#REF!</definedName>
    <definedName name="POOOOOOOO">#REF!</definedName>
    <definedName name="poouuuuuuuuu" localSheetId="5">#REF!</definedName>
    <definedName name="poouuuuuuuuu">#REF!</definedName>
    <definedName name="potyyyy" localSheetId="5">#REF!</definedName>
    <definedName name="potyyyy">#REF!</definedName>
    <definedName name="poweroutlet25a1p3x6" localSheetId="5">#REF!</definedName>
    <definedName name="poweroutlet25a1p3x6">#REF!</definedName>
    <definedName name="poweroutlet25a3p4x6" localSheetId="5">#REF!</definedName>
    <definedName name="poweroutlet25a3p4x6">#REF!</definedName>
    <definedName name="prev_qty_sup">'[22] Ar &amp; St'!$H$1:$H$65536</definedName>
    <definedName name="prev_qy_sub">'[10]Sub Structure BC = 300'!$H$1:$H$65536</definedName>
    <definedName name="PrevAMTsb">'[1]05 Sub Structure BC = 300'!$K$1:$K$65536</definedName>
    <definedName name="PrevAMTspr">'[1]05 Ar &amp; St'!$K$1:$K$65536</definedName>
    <definedName name="PrevAmtSub2" localSheetId="5">#REF!</definedName>
    <definedName name="PrevAmtSub2" localSheetId="4">#REF!</definedName>
    <definedName name="PrevAmtSub2">#REF!</definedName>
    <definedName name="preventorp1" localSheetId="5">#REF!</definedName>
    <definedName name="preventorp1" localSheetId="4">#REF!</definedName>
    <definedName name="preventorp1">#REF!</definedName>
    <definedName name="preventorp2" localSheetId="5">#REF!</definedName>
    <definedName name="preventorp2" localSheetId="4">#REF!</definedName>
    <definedName name="preventorp2">#REF!</definedName>
    <definedName name="preventorp3" localSheetId="5">#REF!</definedName>
    <definedName name="preventorp3">#REF!</definedName>
    <definedName name="preventorp4" localSheetId="5">#REF!</definedName>
    <definedName name="preventorp4">#REF!</definedName>
    <definedName name="prevqty2" localSheetId="5">#REF!</definedName>
    <definedName name="prevqty2">#REF!</definedName>
    <definedName name="PrevQTYsb">'[1]05 Sub Structure BC = 300'!$H$1:$H$65536</definedName>
    <definedName name="PrevQTYsb2" localSheetId="5">#REF!</definedName>
    <definedName name="PrevQTYsb2" localSheetId="4">#REF!</definedName>
    <definedName name="PrevQTYsb2">#REF!</definedName>
    <definedName name="PrevQTYspr">'[1]05 Ar &amp; St'!$H$1:$H$65536</definedName>
    <definedName name="PrevQtysub2" localSheetId="5">#REF!</definedName>
    <definedName name="PrevQtysub2" localSheetId="4">#REF!</definedName>
    <definedName name="PrevQtysub2">#REF!</definedName>
    <definedName name="Princ" localSheetId="5">#REF!</definedName>
    <definedName name="Princ" localSheetId="4">#REF!</definedName>
    <definedName name="Princ">#REF!</definedName>
    <definedName name="Print_Area_Reset" localSheetId="5">OFFSET('Re-bar'!Full_Print,0,0,'Re-bar'!Last_Row)</definedName>
    <definedName name="Print_Area_Reset" localSheetId="4">OFFSET('TO-1'!Full_Print,0,0,'TO-1'!Last_Row)</definedName>
    <definedName name="Print_Area_Reset">OFFSET(Full_Print,0,0,Last_Row)</definedName>
    <definedName name="ptli" localSheetId="5">#REF!</definedName>
    <definedName name="ptli" localSheetId="4">#REF!</definedName>
    <definedName name="ptli">#REF!</definedName>
    <definedName name="pvcconductor1.5" localSheetId="5">#REF!</definedName>
    <definedName name="pvcconductor1.5" localSheetId="4">#REF!</definedName>
    <definedName name="pvcconductor1.5">#REF!</definedName>
    <definedName name="pvcconductor10" localSheetId="5">#REF!</definedName>
    <definedName name="pvcconductor10" localSheetId="4">#REF!</definedName>
    <definedName name="pvcconductor10">#REF!</definedName>
    <definedName name="pvcconductor16" localSheetId="5">#REF!</definedName>
    <definedName name="pvcconductor16">#REF!</definedName>
    <definedName name="pvcconductor2.5" localSheetId="5">#REF!</definedName>
    <definedName name="pvcconductor2.5">#REF!</definedName>
    <definedName name="pvcconductor25" localSheetId="5">#REF!</definedName>
    <definedName name="pvcconductor25">#REF!</definedName>
    <definedName name="pvcconductor4" localSheetId="5">#REF!</definedName>
    <definedName name="pvcconductor4">#REF!</definedName>
    <definedName name="pvcconductor6" localSheetId="5">#REF!</definedName>
    <definedName name="pvcconductor6">#REF!</definedName>
    <definedName name="Q" localSheetId="5">#REF!</definedName>
    <definedName name="Q">#REF!</definedName>
    <definedName name="rahel" localSheetId="5">#REF!</definedName>
    <definedName name="rahel">#REF!</definedName>
    <definedName name="Ratesb">'[1]05 Sub Structure BC = 300'!$E$1:$E$65536</definedName>
    <definedName name="Ratesp">'[1]05 Ar &amp; St'!$E$1:$E$65536</definedName>
    <definedName name="RB">'[9]Supr Rebar'!$I:$I</definedName>
    <definedName name="Rbar1">'[3]RHS and Lattice purline A-2'!$I$1:$I$65536</definedName>
    <definedName name="Rbr">'[13]Sub-Structure Rein'!$I$1:$I$65536</definedName>
    <definedName name="rei" localSheetId="5">#REF!</definedName>
    <definedName name="rei" localSheetId="4">#REF!</definedName>
    <definedName name="rei">#REF!</definedName>
    <definedName name="rende" localSheetId="5">#REF!</definedName>
    <definedName name="rende" localSheetId="4">#REF!</definedName>
    <definedName name="rende">#REF!</definedName>
    <definedName name="Reside" localSheetId="5">#REF!</definedName>
    <definedName name="Reside" localSheetId="4">#REF!</definedName>
    <definedName name="Reside">#REF!</definedName>
    <definedName name="rf">'[18]A2 for above 3rd floor'!$G$49</definedName>
    <definedName name="RFT">'[1]05 Ar &amp; St'!#REF!</definedName>
    <definedName name="rhsprofile" localSheetId="5">#REF!</definedName>
    <definedName name="rhsprofile" localSheetId="4">#REF!</definedName>
    <definedName name="rhsprofile">#REF!</definedName>
    <definedName name="roofing_range">[10]Roofing!$A$1:$F$65536</definedName>
    <definedName name="Roofing_total" localSheetId="5">#REF!</definedName>
    <definedName name="Roofing_total" localSheetId="4">#REF!</definedName>
    <definedName name="Roofing_total">#REF!</definedName>
    <definedName name="s" localSheetId="5">#REF!</definedName>
    <definedName name="s" localSheetId="4">#REF!</definedName>
    <definedName name="s">#REF!</definedName>
    <definedName name="SALI_REMOTE" localSheetId="5">#REF!</definedName>
    <definedName name="SALI_REMOTE" localSheetId="4">#REF!</definedName>
    <definedName name="SALI_REMOTE">#REF!</definedName>
    <definedName name="sat_tv_fm" localSheetId="5">#REF!</definedName>
    <definedName name="sat_tv_fm">#REF!</definedName>
    <definedName name="sat_tv_fm_l" localSheetId="5">#REF!</definedName>
    <definedName name="sat_tv_fm_l">#REF!</definedName>
    <definedName name="sat_tv_fm_t" localSheetId="5">#REF!</definedName>
    <definedName name="sat_tv_fm_t">#REF!</definedName>
    <definedName name="sbgslbg" localSheetId="5">#REF!</definedName>
    <definedName name="sbgslbg">#REF!</definedName>
    <definedName name="SbØ12">'[23]SUB ST'!$L$593</definedName>
    <definedName name="SbØ14">'[23]SUB ST'!$M$593</definedName>
    <definedName name="SbØ16">'[23]SUB ST'!$N$593</definedName>
    <definedName name="SbØ20">'[23]SUB ST'!$O$593</definedName>
    <definedName name="SbØ24">'[23]SUB ST'!$P$593</definedName>
    <definedName name="SBQTY" localSheetId="5">#REF!</definedName>
    <definedName name="SBQTY" localSheetId="4">#REF!</definedName>
    <definedName name="SBQTY">#REF!</definedName>
    <definedName name="Sched_Pay" localSheetId="5">#REF!</definedName>
    <definedName name="Sched_Pay" localSheetId="4">#REF!</definedName>
    <definedName name="Sched_Pay">#REF!</definedName>
    <definedName name="Scheduled_Extra_Payments" localSheetId="5">#REF!</definedName>
    <definedName name="Scheduled_Extra_Payments" localSheetId="4">#REF!</definedName>
    <definedName name="Scheduled_Extra_Payments">#REF!</definedName>
    <definedName name="Scheduled_Interest_Rate" localSheetId="5">#REF!</definedName>
    <definedName name="Scheduled_Interest_Rate">#REF!</definedName>
    <definedName name="Scheduled_Monthly_Payment" localSheetId="5">#REF!</definedName>
    <definedName name="Scheduled_Monthly_Payment">#REF!</definedName>
    <definedName name="screed" localSheetId="5">#REF!</definedName>
    <definedName name="screed">#REF!</definedName>
    <definedName name="sene" localSheetId="5">#REF!</definedName>
    <definedName name="sene">#REF!</definedName>
    <definedName name="SERVICE" localSheetId="5">#REF!</definedName>
    <definedName name="SERVICE">#REF!</definedName>
    <definedName name="sfa">'[24]05 A-2 300kp Shop Sup St.'!$A$1:$F$65536</definedName>
    <definedName name="sfgasg" localSheetId="5">#REF!</definedName>
    <definedName name="sfgasg" localSheetId="4">#REF!</definedName>
    <definedName name="sfgasg">#REF!</definedName>
    <definedName name="sFlr">'[25]05 RB A-2 300kp Shop Sub St.'!$G$1:$G$65536</definedName>
    <definedName name="singleswitch" localSheetId="5">#REF!</definedName>
    <definedName name="singleswitch" localSheetId="4">#REF!</definedName>
    <definedName name="singleswitch">#REF!</definedName>
    <definedName name="singleswitchwp" localSheetId="5">#REF!</definedName>
    <definedName name="singleswitchwp" localSheetId="4">#REF!</definedName>
    <definedName name="singleswitchwp">#REF!</definedName>
    <definedName name="sinto" localSheetId="5">#REF!</definedName>
    <definedName name="sinto" localSheetId="4">#REF!</definedName>
    <definedName name="sinto">#REF!</definedName>
    <definedName name="sMbr">'[25]05 RB A-2 300kp Shop Sub St.'!$H$1:$H$65536</definedName>
    <definedName name="socket10a1p" localSheetId="5">#REF!</definedName>
    <definedName name="socket10a1p" localSheetId="4">#REF!</definedName>
    <definedName name="socket10a1p">#REF!</definedName>
    <definedName name="socket16a1p" localSheetId="5">#REF!</definedName>
    <definedName name="socket16a1p" localSheetId="4">#REF!</definedName>
    <definedName name="socket16a1p">#REF!</definedName>
    <definedName name="SOCKET16A3P" localSheetId="5">#REF!</definedName>
    <definedName name="SOCKET16A3P" localSheetId="4">#REF!</definedName>
    <definedName name="SOCKET16A3P">#REF!</definedName>
    <definedName name="socket16a3x4" localSheetId="5">#REF!</definedName>
    <definedName name="socket16a3x4">#REF!</definedName>
    <definedName name="SOCKET20A1P" localSheetId="5">#REF!</definedName>
    <definedName name="SOCKET20A1P">#REF!</definedName>
    <definedName name="socketoutlet_schucko" localSheetId="5">#REF!</definedName>
    <definedName name="socketoutlet_schucko">#REF!</definedName>
    <definedName name="socketwithswitch16a1p" localSheetId="5">#REF!</definedName>
    <definedName name="socketwithswitch16a1p">#REF!</definedName>
    <definedName name="socketwp10a1p" localSheetId="5">#REF!</definedName>
    <definedName name="socketwp10a1p">#REF!</definedName>
    <definedName name="spblk">'[18]A2 for above 3rd floor'!$G$41</definedName>
    <definedName name="spco">'[18]A2 for above 3rd floor'!$G$31</definedName>
    <definedName name="SPECIFICATION" localSheetId="5">#REF!</definedName>
    <definedName name="SPECIFICATION" localSheetId="4">#REF!</definedName>
    <definedName name="SPECIFICATION">#REF!</definedName>
    <definedName name="SpØ10">'[23]SUPER ST'!$L$2388</definedName>
    <definedName name="SpØ12">'[23]SUPER ST'!$M$2388</definedName>
    <definedName name="SpØ14">'[23]SUPER ST'!$N$2388</definedName>
    <definedName name="SpØ16">'[13]Super-Structure Rein'!$P$227</definedName>
    <definedName name="SpØ20">'[13]Super-Structure Rein'!$Q$227</definedName>
    <definedName name="SpØ24">'[13]Super-Structure Rein'!$R$227</definedName>
    <definedName name="SpØ6">'[23]SUPER ST'!$J$2388</definedName>
    <definedName name="SpØ8">'[23]SUPER ST'!$K$2388</definedName>
    <definedName name="SprQTY" localSheetId="5">#REF!</definedName>
    <definedName name="SprQTY" localSheetId="4">#REF!</definedName>
    <definedName name="SprQTY">#REF!</definedName>
    <definedName name="srgas" localSheetId="5">#REF!</definedName>
    <definedName name="srgas" localSheetId="4">#REF!</definedName>
    <definedName name="srgas">#REF!</definedName>
    <definedName name="ss" localSheetId="5">'[1]05 RB A-2 300kp Res. Sub St.'!#REF!</definedName>
    <definedName name="ss" localSheetId="4">'[1]05 RB A-2 300kp Res. Sub St.'!#REF!</definedName>
    <definedName name="ss">'[1]05 RB A-2 300kp Res. Sub St.'!#REF!</definedName>
    <definedName name="ss." localSheetId="5">#REF!</definedName>
    <definedName name="ss." localSheetId="4">#REF!</definedName>
    <definedName name="ss.">#REF!</definedName>
    <definedName name="sshgyighjkuhv" localSheetId="5">#REF!</definedName>
    <definedName name="sshgyighjkuhv" localSheetId="4">#REF!</definedName>
    <definedName name="sshgyighjkuhv">#REF!</definedName>
    <definedName name="ssss" localSheetId="5">#REF!</definedName>
    <definedName name="ssss" localSheetId="4">#REF!</definedName>
    <definedName name="ssss">#REF!</definedName>
    <definedName name="ssssss" localSheetId="5">'[1]05 Ar &amp; St'!#REF!</definedName>
    <definedName name="ssssss" localSheetId="4">'[1]05 Ar &amp; St'!#REF!</definedName>
    <definedName name="ssssss">'[1]05 Ar &amp; St'!#REF!</definedName>
    <definedName name="ssssssssssssssssssssssssssssssssssssssssssssss" localSheetId="5">#REF!</definedName>
    <definedName name="ssssssssssssssssssssssssssssssssssssssssssssss" localSheetId="4">#REF!</definedName>
    <definedName name="ssssssssssssssssssssssssssssssssssssssssssssss">#REF!</definedName>
    <definedName name="staf" localSheetId="5">#REF!</definedName>
    <definedName name="staf" localSheetId="4">#REF!</definedName>
    <definedName name="staf">#REF!</definedName>
    <definedName name="staircasetimerswitch" localSheetId="5">#REF!</definedName>
    <definedName name="staircasetimerswitch" localSheetId="4">#REF!</definedName>
    <definedName name="staircasetimerswitch">#REF!</definedName>
    <definedName name="steelmast20" localSheetId="5">#REF!</definedName>
    <definedName name="steelmast20">#REF!</definedName>
    <definedName name="steelpole12" localSheetId="5">#REF!</definedName>
    <definedName name="steelpole12">#REF!</definedName>
    <definedName name="steelpole3" localSheetId="5">#REF!</definedName>
    <definedName name="steelpole3">#REF!</definedName>
    <definedName name="steelpole6" localSheetId="5">#REF!</definedName>
    <definedName name="steelpole6">#REF!</definedName>
    <definedName name="steelpole9" localSheetId="5">#REF!</definedName>
    <definedName name="steelpole9">#REF!</definedName>
    <definedName name="Stirupp_Info" localSheetId="5">#REF!</definedName>
    <definedName name="Stirupp_Info">#REF!</definedName>
    <definedName name="Stl_Truss">'[13]T-OFF'!$A$1:$F$65536</definedName>
    <definedName name="Str_Steel_Work">'[1]05 Ar &amp; St'!#REF!</definedName>
    <definedName name="stralstl">'[18]A2 for above 3rd floor'!$G$103</definedName>
    <definedName name="Structural_steel_work" localSheetId="5">#REF!</definedName>
    <definedName name="Structural_steel_work" localSheetId="4">#REF!</definedName>
    <definedName name="Structural_steel_work">#REF!</definedName>
    <definedName name="Structural_steel_work_total">'[8] Ar &amp; St'!$M$77</definedName>
    <definedName name="strutural_steel_total">'[26]08 Ar &amp; St'!$M$23</definedName>
    <definedName name="sub" localSheetId="5">#REF!</definedName>
    <definedName name="sub" localSheetId="4">#REF!</definedName>
    <definedName name="sub">#REF!</definedName>
    <definedName name="Sub_Concrete" localSheetId="5">#REF!</definedName>
    <definedName name="Sub_Concrete" localSheetId="4">#REF!</definedName>
    <definedName name="Sub_Concrete">#REF!</definedName>
    <definedName name="Sub_Concrete_Work">'[1]05 Sub Structure BC = 300'!$M$57</definedName>
    <definedName name="Sub_Structure">'[1]05 Summary'!$E$21</definedName>
    <definedName name="subdia">'[27]RB E-1 300kp SHOP. Sub St.'!$D$1:$D$65536</definedName>
    <definedName name="sum" localSheetId="5">#REF!</definedName>
    <definedName name="sum" localSheetId="4">#REF!</definedName>
    <definedName name="sum">#REF!</definedName>
    <definedName name="Sum?" localSheetId="5">#REF!</definedName>
    <definedName name="Sum?" localSheetId="4">#REF!</definedName>
    <definedName name="Sum?">#REF!</definedName>
    <definedName name="super">'[1]05 A-2 300kp Sup St.'!$A$1:$F$65536</definedName>
    <definedName name="Super_concrete_range">'[10]E-1 300kp Res. Sup St.'!$A$1:$F$65536</definedName>
    <definedName name="Super_Concrete_Work">'[1]05 Ar &amp; St'!$M$40</definedName>
    <definedName name="super_qty_range">'[5]E-1 200kp  Sup St.'!$A$1:$F$65536</definedName>
    <definedName name="Super_Structure">'[1]05 Summary'!$E$37</definedName>
    <definedName name="supper" localSheetId="5">#REF!</definedName>
    <definedName name="supper" localSheetId="4">#REF!</definedName>
    <definedName name="supper">#REF!</definedName>
    <definedName name="surfacepanel12acb" localSheetId="5">#REF!</definedName>
    <definedName name="surfacepanel12acb" localSheetId="4">#REF!</definedName>
    <definedName name="surfacepanel12acb">#REF!</definedName>
    <definedName name="surfacepanel24acb" localSheetId="5">#REF!</definedName>
    <definedName name="surfacepanel24acb" localSheetId="4">#REF!</definedName>
    <definedName name="surfacepanel24acb">#REF!</definedName>
    <definedName name="surfacepanel36acb" localSheetId="5">#REF!</definedName>
    <definedName name="surfacepanel36acb">#REF!</definedName>
    <definedName name="surfacepanel8acb" localSheetId="5">#REF!</definedName>
    <definedName name="surfacepanel8acb">#REF!</definedName>
    <definedName name="surgearrester_40" localSheetId="5">#REF!</definedName>
    <definedName name="surgearrester_40">#REF!</definedName>
    <definedName name="surgearrester_70" localSheetId="5">#REF!</definedName>
    <definedName name="surgearrester_70">#REF!</definedName>
    <definedName name="surv" localSheetId="5">#REF!</definedName>
    <definedName name="surv">#REF!</definedName>
    <definedName name="SURVICE" localSheetId="5">#REF!</definedName>
    <definedName name="SURVICE">#REF!</definedName>
    <definedName name="t" localSheetId="5">#REF!</definedName>
    <definedName name="t">#REF!</definedName>
    <definedName name="tcs058136il" localSheetId="5">#REF!</definedName>
    <definedName name="tcs058136il">#REF!</definedName>
    <definedName name="tcs058136io" localSheetId="5">#REF!</definedName>
    <definedName name="tcs058136io">#REF!</definedName>
    <definedName name="tcs058136ip" localSheetId="5">#REF!</definedName>
    <definedName name="tcs058136ip">#REF!</definedName>
    <definedName name="tcs058236dl" localSheetId="5">#REF!</definedName>
    <definedName name="tcs058236dl">#REF!</definedName>
    <definedName name="tcs058236do" localSheetId="5">#REF!</definedName>
    <definedName name="tcs058236do">#REF!</definedName>
    <definedName name="tcs058236dp" localSheetId="5">#REF!</definedName>
    <definedName name="tcs058236dp">#REF!</definedName>
    <definedName name="TECHN" localSheetId="5">#REF!</definedName>
    <definedName name="TECHN" localSheetId="4">#REF!</definedName>
    <definedName name="TECHN">#N/A</definedName>
    <definedName name="tel" localSheetId="5">#REF!</definedName>
    <definedName name="tel" localSheetId="4">#REF!</definedName>
    <definedName name="tel">#REF!</definedName>
    <definedName name="telephonepoint" localSheetId="5">#REF!</definedName>
    <definedName name="telephonepoint">#REF!</definedName>
    <definedName name="Test">'[1]05 Summary'!$E$14</definedName>
    <definedName name="testclamp25x3" localSheetId="5">#REF!</definedName>
    <definedName name="testclamp25x3" localSheetId="4">#REF!</definedName>
    <definedName name="testclamp25x3">#REF!</definedName>
    <definedName name="testclamp5070" localSheetId="5">#REF!</definedName>
    <definedName name="testclamp5070" localSheetId="4">#REF!</definedName>
    <definedName name="testclamp5070">#REF!</definedName>
    <definedName name="Three_H_A_2" localSheetId="5">'[28]Solomon Weldu A2,E1-FevV'!#REF!</definedName>
    <definedName name="Three_H_A_2" localSheetId="4">'[28]Solomon Weldu A2,E1-FevV'!#REF!</definedName>
    <definedName name="Three_H_A_2">'[28]Solomon Weldu A2,E1-FevV'!#REF!</definedName>
    <definedName name="timerswitch" localSheetId="5">#REF!</definedName>
    <definedName name="timerswitch" localSheetId="4">#REF!</definedName>
    <definedName name="timerswitch">#REF!</definedName>
    <definedName name="_xlnm.Print_Titles" localSheetId="3">BOQ!$2:$2</definedName>
    <definedName name="tms136gdl140" localSheetId="5">#REF!</definedName>
    <definedName name="tms136gdl140" localSheetId="4">#REF!</definedName>
    <definedName name="tms136gdl140">#REF!</definedName>
    <definedName name="tms136gkd140" localSheetId="5">#REF!</definedName>
    <definedName name="tms136gkd140" localSheetId="4">#REF!</definedName>
    <definedName name="tms136gkd140">#REF!</definedName>
    <definedName name="tms236gkh240" localSheetId="5">#REF!</definedName>
    <definedName name="tms236gkh240">#REF!</definedName>
    <definedName name="TodateQTYspr">'[1]05 Ar &amp; St'!$J$1:$J$65536</definedName>
    <definedName name="Total">'[13]Sub-Structure Rein'!$J$1:$J$65536</definedName>
    <definedName name="Total_block_work" localSheetId="5">#REF!</definedName>
    <definedName name="Total_block_work" localSheetId="4">#REF!</definedName>
    <definedName name="Total_block_work">#REF!</definedName>
    <definedName name="Total_Interest" localSheetId="5">#REF!</definedName>
    <definedName name="Total_Interest" localSheetId="4">#REF!</definedName>
    <definedName name="Total_Interest">#REF!</definedName>
    <definedName name="Total_Pay" localSheetId="5">#REF!</definedName>
    <definedName name="Total_Pay" localSheetId="4">#REF!</definedName>
    <definedName name="Total_Pay">#REF!</definedName>
    <definedName name="Total_Structural_Steel_Work">'[29]06 to 08 Ar &amp; St'!$M$69</definedName>
    <definedName name="Total_summary" localSheetId="5">#REF!</definedName>
    <definedName name="Total_summary" localSheetId="4">#REF!</definedName>
    <definedName name="Total_summary">#REF!</definedName>
    <definedName name="total1">'[3]RHS and Lattice purline A-2'!$J$1:$J$65536</definedName>
    <definedName name="total2">'[4] L -1  sub R-bar for 200Kpa '!$J$1:$J$65536</definedName>
    <definedName name="TotalBridges10">'[30]Bills of Quantities'!#REF!</definedName>
    <definedName name="TotalBridges11">'[30]Bills of Quantities'!#REF!</definedName>
    <definedName name="TotalBridges12">'[30]Bills of Quantities'!#REF!</definedName>
    <definedName name="TotalBridges13">'[30]Bills of Quantities'!#REF!</definedName>
    <definedName name="TotalBridges14">'[30]Bills of Quantities'!#REF!</definedName>
    <definedName name="TotalBridges15">'[30]Bills of Quantities'!#REF!</definedName>
    <definedName name="TotalBridges16">'[30]Bills of Quantities'!#REF!</definedName>
    <definedName name="TotalBridges2">'[30]Bills of Quantities'!$O$126</definedName>
    <definedName name="TotalBridges3">'[30]Bills of Quantities'!#REF!</definedName>
    <definedName name="TotalBridges4">'[30]Bills of Quantities'!#REF!</definedName>
    <definedName name="TotalBridges5">'[30]Bills of Quantities'!#REF!</definedName>
    <definedName name="TotalBridges6">'[30]Bills of Quantities'!#REF!</definedName>
    <definedName name="TotalBridges7">'[30]Bills of Quantities'!#REF!</definedName>
    <definedName name="TotalBridges8">'[30]Bills of Quantities'!#REF!</definedName>
    <definedName name="TotalBridges9">'[30]Bills of Quantities'!#REF!</definedName>
    <definedName name="TotalDayworks2" localSheetId="5">#REF!</definedName>
    <definedName name="TotalDayworks2" localSheetId="4">#REF!</definedName>
    <definedName name="TotalDayworks2">#REF!</definedName>
    <definedName name="TotalEarthworks10" localSheetId="4">'[30]Bills of Quantities'!#REF!</definedName>
    <definedName name="TotalEarthworks10">'[30]Bills of Quantities'!#REF!</definedName>
    <definedName name="TotalEarthworks11" localSheetId="4">'[30]Bills of Quantities'!#REF!</definedName>
    <definedName name="TotalEarthworks11">'[30]Bills of Quantities'!#REF!</definedName>
    <definedName name="TotalEarthworks12">'[30]Bills of Quantities'!#REF!</definedName>
    <definedName name="TotalEarthworks13">'[30]Bills of Quantities'!#REF!</definedName>
    <definedName name="TotalEarthworks14">'[30]Bills of Quantities'!#REF!</definedName>
    <definedName name="TotalEarthworks15">'[30]Bills of Quantities'!#REF!</definedName>
    <definedName name="TotalEarthworks16">'[30]Bills of Quantities'!#REF!</definedName>
    <definedName name="TotalEarthworks2">'[30]Bills of Quantities'!$O$17</definedName>
    <definedName name="TotalEarthworks3">'[30]Bills of Quantities'!#REF!</definedName>
    <definedName name="TotalEarthworks4">'[30]Bills of Quantities'!#REF!</definedName>
    <definedName name="TotalEarthworks5">'[30]Bills of Quantities'!#REF!</definedName>
    <definedName name="TotalEarthworks6">'[30]Bills of Quantities'!#REF!</definedName>
    <definedName name="TotalEarthworks7">'[30]Bills of Quantities'!#REF!</definedName>
    <definedName name="TotalEarthworks8">'[30]Bills of Quantities'!#REF!</definedName>
    <definedName name="TotalEarthworks9">'[30]Bills of Quantities'!#REF!</definedName>
    <definedName name="TotalIncidentals10">'[30]Bills of Quantities'!#REF!</definedName>
    <definedName name="TotalIncidentals11">'[30]Bills of Quantities'!#REF!</definedName>
    <definedName name="TotalIncidentals12">'[30]Bills of Quantities'!#REF!</definedName>
    <definedName name="TotalIncidentals13">'[30]Bills of Quantities'!#REF!</definedName>
    <definedName name="TotalIncidentals14">'[30]Bills of Quantities'!#REF!</definedName>
    <definedName name="TotalIncidentals15">'[30]Bills of Quantities'!#REF!</definedName>
    <definedName name="TotalIncidentals16">'[30]Bills of Quantities'!#REF!</definedName>
    <definedName name="TotalIncidentals2">'[30]Bills of Quantities'!$O$151</definedName>
    <definedName name="TotalIncidentals3">'[30]Bills of Quantities'!#REF!</definedName>
    <definedName name="TotalIncidentals4">'[30]Bills of Quantities'!#REF!</definedName>
    <definedName name="TotalIncidentals5">'[30]Bills of Quantities'!#REF!</definedName>
    <definedName name="TotalIncidentals6">'[30]Bills of Quantities'!#REF!</definedName>
    <definedName name="TotalIncidentals7">'[30]Bills of Quantities'!#REF!</definedName>
    <definedName name="TotalIncidentals8">'[30]Bills of Quantities'!#REF!</definedName>
    <definedName name="TotalIncidentals9">'[30]Bills of Quantities'!#REF!</definedName>
    <definedName name="TotalMisc10">'[30]Bills of Quantities'!#REF!</definedName>
    <definedName name="TotalMisc11">'[30]Bills of Quantities'!#REF!</definedName>
    <definedName name="TotalMisc12">'[30]Bills of Quantities'!#REF!</definedName>
    <definedName name="TotalMisc13">'[30]Bills of Quantities'!#REF!</definedName>
    <definedName name="TotalMisc14">'[30]Bills of Quantities'!#REF!</definedName>
    <definedName name="TotalMisc15">'[30]Bills of Quantities'!#REF!</definedName>
    <definedName name="TotalMisc16">'[30]Bills of Quantities'!#REF!</definedName>
    <definedName name="TotalMisc2">'[30]Bills of Quantities'!$O$201</definedName>
    <definedName name="TotalMisc3">'[30]Bills of Quantities'!#REF!</definedName>
    <definedName name="TotalMisc4">'[30]Bills of Quantities'!#REF!</definedName>
    <definedName name="TotalMisc5">'[30]Bills of Quantities'!#REF!</definedName>
    <definedName name="TotalMisc6">'[30]Bills of Quantities'!#REF!</definedName>
    <definedName name="TotalMisc7">'[30]Bills of Quantities'!#REF!</definedName>
    <definedName name="TotalMisc8">'[30]Bills of Quantities'!#REF!</definedName>
    <definedName name="TotalMisc9">'[30]Bills of Quantities'!#REF!</definedName>
    <definedName name="TotalPavements10">'[30]Bills of Quantities'!#REF!</definedName>
    <definedName name="TotalPavements11">'[30]Bills of Quantities'!#REF!</definedName>
    <definedName name="TotalPavements12">'[30]Bills of Quantities'!#REF!</definedName>
    <definedName name="TotalPavements13">'[30]Bills of Quantities'!#REF!</definedName>
    <definedName name="TotalPavements14">'[30]Bills of Quantities'!#REF!</definedName>
    <definedName name="TotalPavements15">'[30]Bills of Quantities'!#REF!</definedName>
    <definedName name="TotalPavements16">'[30]Bills of Quantities'!#REF!</definedName>
    <definedName name="TotalPavements2">'[30]Bills of Quantities'!$O$30</definedName>
    <definedName name="TotalPavements3">'[30]Bills of Quantities'!#REF!</definedName>
    <definedName name="TotalPavements4">'[30]Bills of Quantities'!#REF!</definedName>
    <definedName name="TotalPavements5">'[30]Bills of Quantities'!#REF!</definedName>
    <definedName name="TotalPavements6">'[30]Bills of Quantities'!#REF!</definedName>
    <definedName name="TotalPavements7">'[30]Bills of Quantities'!#REF!</definedName>
    <definedName name="TotalPavements8">'[30]Bills of Quantities'!#REF!</definedName>
    <definedName name="TotalPavements9">'[30]Bills of Quantities'!#REF!</definedName>
    <definedName name="TotalStructures10">'[30]Bills of Quantities'!#REF!</definedName>
    <definedName name="TotalStructures11">'[30]Bills of Quantities'!#REF!</definedName>
    <definedName name="TotalStructures12">'[30]Bills of Quantities'!#REF!</definedName>
    <definedName name="TotalStructures13">'[30]Bills of Quantities'!#REF!</definedName>
    <definedName name="TotalStructures14">'[30]Bills of Quantities'!#REF!</definedName>
    <definedName name="TotalStructures15">'[30]Bills of Quantities'!#REF!</definedName>
    <definedName name="TotalStructures16">'[30]Bills of Quantities'!#REF!</definedName>
    <definedName name="TotalStructures2">'[30]Bills of Quantities'!$O$89</definedName>
    <definedName name="TotalStructures3">'[30]Bills of Quantities'!#REF!</definedName>
    <definedName name="TotalStructures4">'[30]Bills of Quantities'!#REF!</definedName>
    <definedName name="TotalStructures5">'[30]Bills of Quantities'!#REF!</definedName>
    <definedName name="TotalStructures6">'[30]Bills of Quantities'!#REF!</definedName>
    <definedName name="TotalStructures7">'[30]Bills of Quantities'!#REF!</definedName>
    <definedName name="TotalStructures8">'[30]Bills of Quantities'!#REF!</definedName>
    <definedName name="TotalStructures9">'[30]Bills of Quantities'!#REF!</definedName>
    <definedName name="TR" localSheetId="5">#REF!</definedName>
    <definedName name="TR" localSheetId="4">#REF!</definedName>
    <definedName name="TR">#N/A</definedName>
    <definedName name="TTL">'[9]Supr Rebar'!$J:$J</definedName>
    <definedName name="tv" localSheetId="5">#REF!</definedName>
    <definedName name="tv" localSheetId="4">#REF!</definedName>
    <definedName name="tv">#REF!</definedName>
    <definedName name="tvaerial10element" localSheetId="5">#REF!</definedName>
    <definedName name="tvaerial10element" localSheetId="4">#REF!</definedName>
    <definedName name="tvaerial10element">#REF!</definedName>
    <definedName name="tvoutletloopthrough" localSheetId="5">#REF!</definedName>
    <definedName name="tvoutletloopthrough" localSheetId="4">#REF!</definedName>
    <definedName name="tvoutletloopthrough">#REF!</definedName>
    <definedName name="tvoutletterminal" localSheetId="5">#REF!</definedName>
    <definedName name="tvoutletterminal">#REF!</definedName>
    <definedName name="tvpoint" localSheetId="5">#REF!</definedName>
    <definedName name="tvpoint">#REF!</definedName>
    <definedName name="Twenty_Five_H_A_2" localSheetId="5">'[28]Solomon Weldu A2,E1-FevV'!#REF!</definedName>
    <definedName name="Twenty_Five_H_A_2" localSheetId="4">'[28]Solomon Weldu A2,E1-FevV'!#REF!</definedName>
    <definedName name="Twenty_Five_H_A_2">'[28]Solomon Weldu A2,E1-FevV'!#REF!</definedName>
    <definedName name="Two_H" localSheetId="5">#REF!</definedName>
    <definedName name="Two_H" localSheetId="4">#REF!</definedName>
    <definedName name="Two_H">#REF!</definedName>
    <definedName name="Two_H_A_2" localSheetId="5">'[28]Solomon Weldu A2,E1-FevV'!#REF!</definedName>
    <definedName name="Two_H_A_2" localSheetId="4">'[28]Solomon Weldu A2,E1-FevV'!#REF!</definedName>
    <definedName name="Two_H_A_2">'[28]Solomon Weldu A2,E1-FevV'!#REF!</definedName>
    <definedName name="twowayswitch" localSheetId="5">#REF!</definedName>
    <definedName name="twowayswitch" localSheetId="4">#REF!</definedName>
    <definedName name="twowayswitch">#REF!</definedName>
    <definedName name="u" localSheetId="5">#REF!</definedName>
    <definedName name="u" localSheetId="4">#REF!</definedName>
    <definedName name="u">#REF!</definedName>
    <definedName name="untprice" localSheetId="5">#REF!</definedName>
    <definedName name="untprice" localSheetId="4">#REF!</definedName>
    <definedName name="untprice">#REF!</definedName>
    <definedName name="uuu">'[17]Block A Rebar'!$H$8:$H$66375</definedName>
    <definedName name="Values_Entered" localSheetId="5">IF('Re-bar'!Loan_Amount*'Re-bar'!Interest_Rate*'Re-bar'!Loan_Years*'Re-bar'!Loan_Start&gt;0,1,0)</definedName>
    <definedName name="Values_Entered" localSheetId="4">IF('TO-1'!Loan_Amount*Interest_Rate*'TO-1'!Loan_Years*'TO-1'!Loan_Start&gt;0,1,0)</definedName>
    <definedName name="Values_Entered">IF(Loan_Amount*Interest_Rate*Loan_Years*Loan_Start&gt;0,1,0)</definedName>
    <definedName name="vcvcvzcb" localSheetId="5">#REF!</definedName>
    <definedName name="vcvcvzcb" localSheetId="4">#REF!</definedName>
    <definedName name="vcvcvzcb">#REF!</definedName>
    <definedName name="vDateTime" localSheetId="5">#REF!</definedName>
    <definedName name="vDateTime" localSheetId="4">#REF!</definedName>
    <definedName name="vDateTime">#REF!</definedName>
    <definedName name="vDiastolic" localSheetId="5">#REF!</definedName>
    <definedName name="vDiastolic" localSheetId="4">#REF!</definedName>
    <definedName name="vDiastolic">#REF!</definedName>
    <definedName name="vfghdhhdh" localSheetId="5">#REF!</definedName>
    <definedName name="vfghdhhdh">#REF!</definedName>
    <definedName name="vHeartRate" localSheetId="5">#REF!</definedName>
    <definedName name="vHeartRate">#REF!</definedName>
    <definedName name="vibrationdetector" localSheetId="5">#REF!</definedName>
    <definedName name="vibrationdetector">#REF!</definedName>
    <definedName name="vSystolic" localSheetId="5">#REF!</definedName>
    <definedName name="vSystolic">#REF!</definedName>
    <definedName name="vvvvvvvv" localSheetId="5">#REF!</definedName>
    <definedName name="vvvvvvvv">#REF!</definedName>
    <definedName name="wallglobe" localSheetId="5">#REF!</definedName>
    <definedName name="wallglobe">#REF!</definedName>
    <definedName name="wer" localSheetId="5">#REF!</definedName>
    <definedName name="wer">#REF!</definedName>
    <definedName name="Window_Door">'[13]Windows and Doors'!$A$23:$Y$40</definedName>
    <definedName name="Windows">'[13]Windows and Doors'!$A$12:$Y$21</definedName>
    <definedName name="WORK">[31]wa!$C$16:$I$17</definedName>
    <definedName name="WORK1">[31]wa!$C$16:$I$17</definedName>
    <definedName name="xbxbbxbx" localSheetId="5">#REF!</definedName>
    <definedName name="xbxbbxbx" localSheetId="4">#REF!</definedName>
    <definedName name="xbxbbxbx">#REF!</definedName>
    <definedName name="xCCc" localSheetId="5">#REF!</definedName>
    <definedName name="xCCc" localSheetId="4">#REF!</definedName>
    <definedName name="xCCc">#REF!</definedName>
    <definedName name="xczczc">'[32]Windows and Doors'!$A$5:$Y$10</definedName>
    <definedName name="xxx" localSheetId="5">#REF!</definedName>
    <definedName name="xxx" localSheetId="4">#REF!</definedName>
    <definedName name="xxx">#REF!</definedName>
    <definedName name="xxxxbx" localSheetId="5">#REF!</definedName>
    <definedName name="xxxxbx" localSheetId="4">#REF!</definedName>
    <definedName name="xxxxbx">#REF!</definedName>
    <definedName name="yyyyyy" localSheetId="5">#REF!</definedName>
    <definedName name="yyyyyy" localSheetId="4">#REF!</definedName>
    <definedName name="yyyyyy">#REF!</definedName>
    <definedName name="z" localSheetId="5">#REF!</definedName>
    <definedName name="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4" i="20" l="1"/>
  <c r="F34" i="20"/>
  <c r="F186" i="20" l="1"/>
  <c r="F187" i="20"/>
  <c r="F188" i="20"/>
  <c r="F189" i="20"/>
  <c r="F190" i="20"/>
  <c r="F192" i="20"/>
  <c r="F193" i="20"/>
  <c r="F194" i="20"/>
  <c r="F195" i="20"/>
  <c r="F196" i="20"/>
  <c r="F198" i="20"/>
  <c r="F199" i="20"/>
  <c r="F200" i="20"/>
  <c r="F201" i="20"/>
  <c r="F202" i="20"/>
  <c r="F205" i="20"/>
  <c r="F206" i="20"/>
  <c r="F207" i="20"/>
  <c r="F208" i="20"/>
  <c r="F209" i="20"/>
  <c r="F210" i="20"/>
  <c r="F211" i="20"/>
  <c r="F212" i="20"/>
  <c r="F213" i="20"/>
  <c r="F214" i="20"/>
  <c r="F215" i="20"/>
  <c r="F216" i="20"/>
  <c r="F217" i="20"/>
  <c r="F185" i="20"/>
  <c r="F116" i="20"/>
  <c r="F118" i="20"/>
  <c r="F119" i="20"/>
  <c r="F120" i="20"/>
  <c r="F121" i="20"/>
  <c r="F122" i="20"/>
  <c r="F123" i="20"/>
  <c r="F124" i="20"/>
  <c r="F125" i="20"/>
  <c r="F126" i="20"/>
  <c r="F127" i="20"/>
  <c r="F128" i="20"/>
  <c r="F129" i="20"/>
  <c r="F130" i="20"/>
  <c r="F131" i="20"/>
  <c r="F133" i="20"/>
  <c r="F134" i="20"/>
  <c r="F137" i="20"/>
  <c r="F138" i="20"/>
  <c r="F139" i="20"/>
  <c r="F140" i="20"/>
  <c r="F141" i="20"/>
  <c r="F142" i="20"/>
  <c r="F143" i="20"/>
  <c r="F144" i="20"/>
  <c r="F145" i="20"/>
  <c r="F146" i="20"/>
  <c r="F147" i="20"/>
  <c r="F148" i="20"/>
  <c r="F151" i="20"/>
  <c r="F152" i="20"/>
  <c r="F153" i="20"/>
  <c r="F154" i="20"/>
  <c r="F155" i="20"/>
  <c r="F156" i="20"/>
  <c r="F157" i="20"/>
  <c r="F158" i="20"/>
  <c r="F159" i="20"/>
  <c r="F160" i="20"/>
  <c r="F161" i="20"/>
  <c r="F162" i="20"/>
  <c r="F163" i="20"/>
  <c r="F166" i="20"/>
  <c r="F167" i="20"/>
  <c r="F168" i="20"/>
  <c r="F169" i="20"/>
  <c r="F170" i="20"/>
  <c r="F171" i="20"/>
  <c r="F172" i="20"/>
  <c r="F173" i="20"/>
  <c r="F174" i="20"/>
  <c r="F175" i="20"/>
  <c r="F176" i="20"/>
  <c r="F177" i="20"/>
  <c r="F178" i="20"/>
  <c r="F179" i="20"/>
  <c r="F180" i="20"/>
  <c r="F114" i="20"/>
  <c r="F95" i="20"/>
  <c r="F85" i="20"/>
  <c r="F86" i="20"/>
  <c r="F88" i="20"/>
  <c r="F89" i="20"/>
  <c r="F90" i="20"/>
  <c r="F91" i="20"/>
  <c r="F92" i="20"/>
  <c r="F93" i="20"/>
  <c r="F94" i="20"/>
  <c r="F97" i="20"/>
  <c r="F98" i="20"/>
  <c r="F99" i="20"/>
  <c r="F100" i="20"/>
  <c r="F101" i="20"/>
  <c r="F102" i="20"/>
  <c r="F103" i="20"/>
  <c r="F84" i="20"/>
  <c r="F54" i="20"/>
  <c r="F55" i="20"/>
  <c r="F56" i="20"/>
  <c r="F57" i="20"/>
  <c r="F58" i="20"/>
  <c r="F59" i="20"/>
  <c r="F60" i="20"/>
  <c r="F61" i="20"/>
  <c r="F62" i="20"/>
  <c r="F63" i="20"/>
  <c r="F64" i="20"/>
  <c r="F65" i="20"/>
  <c r="F67" i="20"/>
  <c r="F68" i="20"/>
  <c r="F70" i="20"/>
  <c r="F71" i="20"/>
  <c r="F72" i="20"/>
  <c r="F73" i="20"/>
  <c r="F74" i="20"/>
  <c r="F76" i="20"/>
  <c r="F77" i="20"/>
  <c r="F79" i="20"/>
  <c r="F53" i="20"/>
  <c r="F43" i="20"/>
  <c r="F44" i="20"/>
  <c r="F48" i="20" s="1"/>
  <c r="F45" i="20"/>
  <c r="F46" i="20"/>
  <c r="F47" i="20"/>
  <c r="F42" i="20"/>
  <c r="F37" i="20"/>
  <c r="F38" i="20"/>
  <c r="F36" i="20"/>
  <c r="F19" i="20"/>
  <c r="F22" i="20"/>
  <c r="F23" i="20"/>
  <c r="F25" i="20"/>
  <c r="F26" i="20"/>
  <c r="F31" i="20"/>
  <c r="F32" i="20"/>
  <c r="F33" i="20"/>
  <c r="F18" i="20"/>
  <c r="F27" i="20" s="1"/>
  <c r="F8" i="20"/>
  <c r="F9" i="20"/>
  <c r="F10" i="20"/>
  <c r="F11" i="20"/>
  <c r="F12" i="20"/>
  <c r="F7" i="20"/>
  <c r="D7" i="20"/>
  <c r="F13" i="20" l="1"/>
  <c r="F39" i="20"/>
  <c r="F218" i="20"/>
  <c r="F181" i="20"/>
  <c r="F203" i="20"/>
  <c r="F80" i="20"/>
  <c r="D79" i="20"/>
  <c r="D76" i="20"/>
  <c r="D97" i="20" l="1"/>
  <c r="I10" i="43"/>
  <c r="D99" i="20" l="1"/>
  <c r="D98" i="20"/>
  <c r="D103" i="20"/>
  <c r="D102" i="20"/>
  <c r="D101" i="20"/>
  <c r="D36" i="20"/>
  <c r="B73" i="44" l="1"/>
  <c r="C71" i="44"/>
  <c r="D19" i="20"/>
  <c r="D23" i="20"/>
  <c r="D93" i="20" l="1"/>
  <c r="C227" i="44" l="1"/>
  <c r="B223" i="44"/>
  <c r="C224" i="44" s="1"/>
  <c r="C221" i="44"/>
  <c r="C218" i="44"/>
  <c r="B214" i="44"/>
  <c r="C215" i="44" s="1"/>
  <c r="C212" i="44"/>
  <c r="C209" i="44"/>
  <c r="B205" i="44"/>
  <c r="C206" i="44" s="1"/>
  <c r="C203" i="44"/>
  <c r="B199" i="44"/>
  <c r="C200" i="44" s="1"/>
  <c r="C197" i="44"/>
  <c r="C194" i="44"/>
  <c r="B190" i="44"/>
  <c r="C191" i="44" s="1"/>
  <c r="C188" i="44"/>
  <c r="C185" i="44"/>
  <c r="B181" i="44"/>
  <c r="C182" i="44" s="1"/>
  <c r="B178" i="44"/>
  <c r="C179" i="44" s="1"/>
  <c r="C176" i="44"/>
  <c r="C173" i="44"/>
  <c r="B169" i="44"/>
  <c r="C170" i="44" s="1"/>
  <c r="C167" i="44"/>
  <c r="C164" i="44"/>
  <c r="B160" i="44"/>
  <c r="C161" i="44" s="1"/>
  <c r="C158" i="44"/>
  <c r="C155" i="44"/>
  <c r="C152" i="44"/>
  <c r="B148" i="44"/>
  <c r="C149" i="44" s="1"/>
  <c r="C146" i="44"/>
  <c r="C143" i="44"/>
  <c r="C140" i="44"/>
  <c r="B136" i="44"/>
  <c r="C137" i="44" s="1"/>
  <c r="C134" i="44"/>
  <c r="C131" i="44"/>
  <c r="B127" i="44"/>
  <c r="C128" i="44" s="1"/>
  <c r="C125" i="44"/>
  <c r="C122" i="44"/>
  <c r="C119" i="44"/>
  <c r="C116" i="44"/>
  <c r="C113" i="44"/>
  <c r="B109" i="44"/>
  <c r="C110" i="44" s="1"/>
  <c r="C228" i="44" l="1"/>
  <c r="C368" i="44" l="1"/>
  <c r="C366" i="44"/>
  <c r="C365" i="44"/>
  <c r="C367" i="44"/>
  <c r="C352" i="44"/>
  <c r="C351" i="44"/>
  <c r="C355" i="44"/>
  <c r="C354" i="44"/>
  <c r="C353" i="44"/>
  <c r="C350" i="44"/>
  <c r="C349" i="44"/>
  <c r="C348" i="44"/>
  <c r="C347" i="44"/>
  <c r="C346" i="44"/>
  <c r="C345" i="44"/>
  <c r="C344" i="44"/>
  <c r="C343" i="44"/>
  <c r="C234" i="44"/>
  <c r="C357" i="44" l="1"/>
  <c r="D90" i="20" s="1"/>
  <c r="C324" i="44"/>
  <c r="B314" i="44"/>
  <c r="C309" i="44"/>
  <c r="B302" i="44"/>
  <c r="B278" i="44"/>
  <c r="C282" i="44"/>
  <c r="C297" i="44"/>
  <c r="B293" i="44"/>
  <c r="C294" i="44" s="1"/>
  <c r="C267" i="44"/>
  <c r="C261" i="44"/>
  <c r="C258" i="44"/>
  <c r="C255" i="44"/>
  <c r="C252" i="44"/>
  <c r="C249" i="44"/>
  <c r="C246" i="44"/>
  <c r="C243" i="44"/>
  <c r="C240" i="44"/>
  <c r="C237" i="44"/>
  <c r="C270" i="44"/>
  <c r="C262" i="44" l="1"/>
  <c r="D88" i="20" s="1"/>
  <c r="C273" i="44"/>
  <c r="C291" i="44"/>
  <c r="C288" i="44"/>
  <c r="B284" i="44"/>
  <c r="C285" i="44" s="1"/>
  <c r="C279" i="44"/>
  <c r="C339" i="44"/>
  <c r="C336" i="44"/>
  <c r="C333" i="44"/>
  <c r="C330" i="44"/>
  <c r="C327" i="44"/>
  <c r="C321" i="44"/>
  <c r="C318" i="44"/>
  <c r="C315" i="44"/>
  <c r="C312" i="44"/>
  <c r="C306" i="44"/>
  <c r="C303" i="44"/>
  <c r="C298" i="44" l="1"/>
  <c r="D91" i="20" s="1"/>
  <c r="C340" i="44"/>
  <c r="D92" i="20" s="1"/>
  <c r="D86" i="20"/>
  <c r="C274" i="44" l="1"/>
  <c r="D89" i="20" s="1"/>
  <c r="D10" i="20" l="1"/>
  <c r="D11" i="20" l="1"/>
  <c r="D8" i="20" l="1"/>
  <c r="D42" i="20" s="1"/>
  <c r="D12" i="20"/>
  <c r="D9" i="20"/>
  <c r="C34" i="44"/>
  <c r="C31" i="44"/>
  <c r="B27" i="44"/>
  <c r="C28" i="44" s="1"/>
  <c r="C25" i="44"/>
  <c r="C22" i="44"/>
  <c r="C19" i="44"/>
  <c r="C16" i="44"/>
  <c r="C13" i="44"/>
  <c r="C10" i="44"/>
  <c r="C37" i="44"/>
  <c r="C7" i="44"/>
  <c r="C92" i="44"/>
  <c r="C89" i="44"/>
  <c r="C68" i="44"/>
  <c r="B82" i="44"/>
  <c r="C83" i="44" s="1"/>
  <c r="C102" i="44" s="1"/>
  <c r="C65" i="44"/>
  <c r="C62" i="44"/>
  <c r="C74" i="44"/>
  <c r="C103" i="44" s="1"/>
  <c r="D100" i="20" s="1"/>
  <c r="B79" i="44"/>
  <c r="C59" i="44"/>
  <c r="C56" i="44"/>
  <c r="C53" i="44"/>
  <c r="C50" i="44"/>
  <c r="C100" i="44" s="1"/>
  <c r="C47" i="44"/>
  <c r="C44" i="44"/>
  <c r="C38" i="44" l="1"/>
  <c r="C75" i="44"/>
  <c r="D31" i="20" l="1"/>
  <c r="C99" i="44"/>
  <c r="F7" i="43" l="1"/>
  <c r="F6" i="43"/>
  <c r="O4" i="43"/>
  <c r="N4" i="43"/>
  <c r="M4" i="43"/>
  <c r="L4" i="43"/>
  <c r="K4" i="43"/>
  <c r="J4" i="43"/>
  <c r="H4" i="43"/>
  <c r="F4" i="43"/>
  <c r="I4" i="43" s="1"/>
  <c r="O3" i="43"/>
  <c r="N3" i="43"/>
  <c r="M3" i="43"/>
  <c r="L3" i="43"/>
  <c r="K3" i="43"/>
  <c r="J3" i="43"/>
  <c r="H3" i="43"/>
  <c r="F3" i="43"/>
  <c r="I3" i="43" s="1"/>
  <c r="C369" i="44"/>
  <c r="C362" i="44"/>
  <c r="C361" i="44"/>
  <c r="D38" i="20"/>
  <c r="D37" i="20"/>
  <c r="D22" i="20"/>
  <c r="D18" i="20"/>
  <c r="C370" i="44" l="1"/>
  <c r="D94" i="20" s="1"/>
  <c r="C95" i="44"/>
  <c r="C96" i="44" s="1"/>
  <c r="D33" i="20" s="1"/>
  <c r="C80" i="44"/>
  <c r="C84" i="44" l="1"/>
  <c r="D32" i="20" s="1"/>
  <c r="C101" i="44"/>
  <c r="C104" i="44" s="1"/>
  <c r="D84" i="20" s="1"/>
  <c r="C14" i="21" l="1"/>
  <c r="C15" i="21" l="1"/>
  <c r="D85" i="20" l="1"/>
  <c r="O7" i="43" l="1"/>
  <c r="N7" i="43"/>
  <c r="M7" i="43"/>
  <c r="L7" i="43"/>
  <c r="K7" i="43"/>
  <c r="J7" i="43"/>
  <c r="H7" i="43"/>
  <c r="I7" i="43"/>
  <c r="O6" i="43"/>
  <c r="N6" i="43"/>
  <c r="M6" i="43"/>
  <c r="L6" i="43"/>
  <c r="K6" i="43"/>
  <c r="J6" i="43"/>
  <c r="H6" i="43"/>
  <c r="I6" i="43"/>
  <c r="O10" i="43" l="1"/>
  <c r="O12" i="43" s="1"/>
  <c r="H10" i="43"/>
  <c r="H12" i="43" s="1"/>
  <c r="N10" i="43"/>
  <c r="N12" i="43" s="1"/>
  <c r="J10" i="43"/>
  <c r="J12" i="43" s="1"/>
  <c r="L10" i="43"/>
  <c r="L12" i="43" s="1"/>
  <c r="M10" i="43"/>
  <c r="M12" i="43" s="1"/>
  <c r="I12" i="43"/>
  <c r="D26" i="20" s="1"/>
  <c r="K10" i="43"/>
  <c r="K12" i="43" s="1"/>
  <c r="C6" i="21" l="1"/>
  <c r="C16" i="21" l="1"/>
  <c r="C63" i="29" l="1"/>
  <c r="D63" i="29"/>
  <c r="H63" i="29"/>
  <c r="F58" i="29"/>
  <c r="G58" i="29"/>
  <c r="B58" i="29"/>
  <c r="G62" i="29"/>
  <c r="F62" i="29"/>
  <c r="B62" i="29"/>
  <c r="G61" i="29"/>
  <c r="B61" i="29"/>
  <c r="F61" i="29"/>
  <c r="G60" i="29"/>
  <c r="F60" i="29"/>
  <c r="B60" i="29"/>
  <c r="G59" i="29"/>
  <c r="B59" i="29"/>
  <c r="F57" i="29"/>
  <c r="G57" i="29"/>
  <c r="B57" i="29"/>
  <c r="F56" i="29"/>
  <c r="G56" i="29"/>
  <c r="B56" i="29"/>
  <c r="F55" i="29"/>
  <c r="G55" i="29"/>
  <c r="B55" i="29"/>
  <c r="F54" i="29"/>
  <c r="G54" i="29"/>
  <c r="B54" i="29"/>
  <c r="B53" i="29"/>
  <c r="B52" i="29"/>
  <c r="F53" i="29"/>
  <c r="G53" i="29"/>
  <c r="G52" i="29"/>
  <c r="B51" i="29"/>
  <c r="G51" i="29"/>
  <c r="G49" i="29"/>
  <c r="F49" i="29"/>
  <c r="B49" i="29"/>
  <c r="G48" i="29"/>
  <c r="F48" i="29"/>
  <c r="B48" i="29"/>
  <c r="G47" i="29"/>
  <c r="F47" i="29"/>
  <c r="B47" i="29"/>
  <c r="G46" i="29"/>
  <c r="F46" i="29"/>
  <c r="E46" i="29"/>
  <c r="B46" i="29"/>
  <c r="G45" i="29"/>
  <c r="F45" i="29"/>
  <c r="B45" i="29"/>
  <c r="G44" i="29"/>
  <c r="F44" i="29"/>
  <c r="B44" i="29"/>
  <c r="G43" i="29"/>
  <c r="F43" i="29"/>
  <c r="B43" i="29"/>
  <c r="F42" i="29"/>
  <c r="E42" i="29"/>
  <c r="B42" i="29"/>
  <c r="G41" i="29"/>
  <c r="F41" i="29"/>
  <c r="B41" i="29"/>
  <c r="G40" i="29"/>
  <c r="F40" i="29"/>
  <c r="B40" i="29"/>
  <c r="G39" i="29"/>
  <c r="F39" i="29"/>
  <c r="B39" i="29"/>
  <c r="G38" i="29"/>
  <c r="F38" i="29"/>
  <c r="B38" i="29"/>
  <c r="G37" i="29"/>
  <c r="F37" i="29"/>
  <c r="B37" i="29"/>
  <c r="G36" i="29"/>
  <c r="B36" i="29"/>
  <c r="G35" i="29"/>
  <c r="F35" i="29"/>
  <c r="B35" i="29"/>
  <c r="G34" i="29"/>
  <c r="B34" i="29"/>
  <c r="G33" i="29"/>
  <c r="F33" i="29"/>
  <c r="B33" i="29"/>
  <c r="G32" i="29"/>
  <c r="F32" i="29"/>
  <c r="B32" i="29"/>
  <c r="G30" i="29"/>
  <c r="F30" i="29"/>
  <c r="B30" i="29"/>
  <c r="G29" i="29"/>
  <c r="F29" i="29"/>
  <c r="B29" i="29"/>
  <c r="G28" i="29"/>
  <c r="F28" i="29"/>
  <c r="B28" i="29"/>
  <c r="G27" i="29"/>
  <c r="B27" i="29"/>
  <c r="G26" i="29"/>
  <c r="F26" i="29"/>
  <c r="B26" i="29"/>
  <c r="G25" i="29"/>
  <c r="F25" i="29"/>
  <c r="B25" i="29"/>
  <c r="G24" i="29"/>
  <c r="F24" i="29"/>
  <c r="B24" i="29"/>
  <c r="G23" i="29"/>
  <c r="F23" i="29"/>
  <c r="B23" i="29"/>
  <c r="G22" i="29"/>
  <c r="F22" i="29"/>
  <c r="B22" i="29"/>
  <c r="G21" i="29"/>
  <c r="F21" i="29"/>
  <c r="B21" i="29"/>
  <c r="G20" i="29"/>
  <c r="G63" i="29" s="1"/>
  <c r="F20" i="29"/>
  <c r="B20" i="29"/>
  <c r="F19" i="29"/>
  <c r="E19" i="29"/>
  <c r="B19" i="29"/>
  <c r="G18" i="29"/>
  <c r="F18" i="29"/>
  <c r="B18" i="29"/>
  <c r="F17" i="29"/>
  <c r="E17" i="29"/>
  <c r="B17" i="29"/>
  <c r="G16" i="29"/>
  <c r="F16" i="29"/>
  <c r="B16" i="29"/>
  <c r="E15" i="29"/>
  <c r="B15" i="29"/>
  <c r="F14" i="29"/>
  <c r="E14" i="29"/>
  <c r="B14" i="29"/>
  <c r="G13" i="29"/>
  <c r="F13" i="29"/>
  <c r="B13" i="29"/>
  <c r="E12" i="29"/>
  <c r="B12" i="29"/>
  <c r="E11" i="29"/>
  <c r="B11" i="29"/>
  <c r="E10" i="29"/>
  <c r="B10" i="29"/>
  <c r="E9" i="29"/>
  <c r="B9" i="29"/>
  <c r="E8" i="29"/>
  <c r="B8" i="29"/>
  <c r="E7" i="29"/>
  <c r="B7" i="29"/>
  <c r="E6" i="29"/>
  <c r="B6" i="29"/>
  <c r="E5" i="29"/>
  <c r="B5" i="29"/>
  <c r="E4" i="29"/>
  <c r="B4" i="29"/>
  <c r="E3" i="29"/>
  <c r="B3" i="29"/>
  <c r="E2" i="29"/>
  <c r="B2" i="29"/>
  <c r="F63" i="29" l="1"/>
  <c r="E63" i="29"/>
  <c r="B63" i="29"/>
  <c r="C11" i="21"/>
  <c r="C9" i="21" l="1"/>
  <c r="C10" i="21"/>
  <c r="C13" i="21" l="1"/>
  <c r="C12" i="21"/>
  <c r="C8" i="21" l="1"/>
  <c r="C7" i="21"/>
  <c r="C18" i="21" l="1"/>
  <c r="C19" i="21" s="1"/>
  <c r="C21" i="21" s="1"/>
</calcChain>
</file>

<file path=xl/sharedStrings.xml><?xml version="1.0" encoding="utf-8"?>
<sst xmlns="http://schemas.openxmlformats.org/spreadsheetml/2006/main" count="855" uniqueCount="524">
  <si>
    <t>ITEM</t>
  </si>
  <si>
    <t>DESCRIPTION</t>
  </si>
  <si>
    <t>UNIT</t>
  </si>
  <si>
    <t>QUANTITY</t>
  </si>
  <si>
    <t>RATE</t>
  </si>
  <si>
    <t>m²</t>
  </si>
  <si>
    <t>REINFORCED CONCRETE</t>
  </si>
  <si>
    <t>ml</t>
  </si>
  <si>
    <t>REINFORCEMENT BARS</t>
  </si>
  <si>
    <t>kg</t>
  </si>
  <si>
    <t>SUB TOTAL CONCRETE WORK ETH BIRR</t>
  </si>
  <si>
    <t>SUMMARY OF PRICES</t>
  </si>
  <si>
    <t>Birr</t>
  </si>
  <si>
    <t>SUB TOTAL MASONRY WORK ETH BIRR</t>
  </si>
  <si>
    <t>02</t>
  </si>
  <si>
    <t>03</t>
  </si>
  <si>
    <t>CONCRETE WORKS</t>
  </si>
  <si>
    <t>Cast in Place Concrete</t>
  </si>
  <si>
    <t xml:space="preserve">Rebar Diameter 8mm
</t>
  </si>
  <si>
    <t>04</t>
  </si>
  <si>
    <t>HOLLOW &amp; SOLID CONCRETE BLOCKS</t>
  </si>
  <si>
    <t>05</t>
  </si>
  <si>
    <t>METAL WORK</t>
  </si>
  <si>
    <t>No</t>
  </si>
  <si>
    <t>Lm</t>
  </si>
  <si>
    <t>SUB TOTAL METAL WORK ETH BIRR</t>
  </si>
  <si>
    <t>WALL AND FLOOR FINISHINGS</t>
  </si>
  <si>
    <t>PLASTERING &amp; POINTING</t>
  </si>
  <si>
    <t xml:space="preserve">Finishing work includes all surface pre cleaning, removal of mortar by chiseling, making good edges of columns and beams, preparation of grooves b/n surface where ever indicated, preparation and application of finish, polishing and cleaning after end of work.
</t>
  </si>
  <si>
    <t>Wall and floor finish</t>
  </si>
  <si>
    <t>SUB TOTAL FINISHING WORK ETH BIRR</t>
  </si>
  <si>
    <t>PAINTING</t>
  </si>
  <si>
    <t>SUB TOTAL PAINTING WORK ETH BIRR</t>
  </si>
  <si>
    <t>Bm 3</t>
  </si>
  <si>
    <t>BM 2</t>
  </si>
  <si>
    <t>Bm A</t>
  </si>
  <si>
    <t>BM B</t>
  </si>
  <si>
    <t>BM C</t>
  </si>
  <si>
    <t>BM D</t>
  </si>
  <si>
    <t>MB H</t>
  </si>
  <si>
    <t>BM F</t>
  </si>
  <si>
    <t>BM E</t>
  </si>
  <si>
    <t>BM G</t>
  </si>
  <si>
    <t>BM 1</t>
  </si>
  <si>
    <t>BM 4</t>
  </si>
  <si>
    <t>BM 3</t>
  </si>
  <si>
    <t>BM H</t>
  </si>
  <si>
    <t>BM 1 Arc</t>
  </si>
  <si>
    <t>BM 4 arc</t>
  </si>
  <si>
    <t>BM I'</t>
  </si>
  <si>
    <t>at elev 3, 8, 12</t>
  </si>
  <si>
    <t>BM E&amp;F</t>
  </si>
  <si>
    <t>BM A</t>
  </si>
  <si>
    <t>BM 1&amp;2 Arc</t>
  </si>
  <si>
    <t>TYP</t>
  </si>
  <si>
    <t>BM F&amp;G</t>
  </si>
  <si>
    <t>BM C&amp;I'</t>
  </si>
  <si>
    <t>Total</t>
  </si>
  <si>
    <t>CARPENTRY &amp; JOINERY</t>
  </si>
  <si>
    <t>SUB TOTAL CARPENTRY AND JOINERY WORK ETH BIRR</t>
  </si>
  <si>
    <r>
      <t>m</t>
    </r>
    <r>
      <rPr>
        <vertAlign val="superscript"/>
        <sz val="11"/>
        <rFont val="Calibri"/>
        <family val="2"/>
        <scheme val="minor"/>
      </rPr>
      <t>2</t>
    </r>
  </si>
  <si>
    <r>
      <rPr>
        <b/>
        <sz val="11"/>
        <rFont val="Calibri"/>
        <family val="2"/>
        <scheme val="minor"/>
      </rPr>
      <t>Standards</t>
    </r>
    <r>
      <rPr>
        <sz val="11"/>
        <rFont val="Calibri"/>
        <family val="2"/>
        <scheme val="minor"/>
      </rPr>
      <t xml:space="preserve">
Comply with the following standard.
Hot dip galvanized coating on iron and steel articles BS 729
Anodic oxidation coating on Aluminum BS 1615
Anodic oxide coating on Aluminum for external architectural application BS 3987
Wrought steel for mechanical &amp; allied engineering purposes BS 970
</t>
    </r>
  </si>
  <si>
    <t xml:space="preserve">Hollow block - (CLASS B, Average strength of 6 Blocks 35kg/cm2, Minimum strength of Individual Block 32kg/cm2
</t>
  </si>
  <si>
    <t>SERVICE SUM</t>
  </si>
  <si>
    <t>Carpentry and Ceiling Works</t>
  </si>
  <si>
    <t xml:space="preserve">200mm thick class 'B' H.C.B wall bedded and jointed in cement mortar (1:3) both side left for appropriate finishing.
</t>
  </si>
  <si>
    <t xml:space="preserve">150mm thick class 'B' H.C.B wall bedded and jointed in cement mortar (1:3) both side left for appropriate finishing.
</t>
  </si>
  <si>
    <t>15% VAT</t>
  </si>
  <si>
    <t>GRAND TOTAL</t>
  </si>
  <si>
    <r>
      <rPr>
        <b/>
        <sz val="18"/>
        <color indexed="8"/>
        <rFont val="Cambria"/>
        <family val="1"/>
        <scheme val="major"/>
      </rPr>
      <t>02.</t>
    </r>
    <r>
      <rPr>
        <sz val="18"/>
        <color indexed="8"/>
        <rFont val="Cambria"/>
        <family val="1"/>
        <scheme val="major"/>
      </rPr>
      <t xml:space="preserve">  CONCRETE WORK</t>
    </r>
  </si>
  <si>
    <r>
      <rPr>
        <b/>
        <sz val="18"/>
        <color indexed="8"/>
        <rFont val="Cambria"/>
        <family val="1"/>
        <scheme val="major"/>
      </rPr>
      <t>05.</t>
    </r>
    <r>
      <rPr>
        <sz val="18"/>
        <color indexed="8"/>
        <rFont val="Cambria"/>
        <family val="1"/>
        <scheme val="major"/>
      </rPr>
      <t xml:space="preserve"> CARPENTERY AND JOINERY</t>
    </r>
  </si>
  <si>
    <r>
      <rPr>
        <b/>
        <sz val="18"/>
        <color indexed="8"/>
        <rFont val="Cambria"/>
        <family val="1"/>
        <scheme val="major"/>
      </rPr>
      <t>06</t>
    </r>
    <r>
      <rPr>
        <sz val="18"/>
        <color indexed="8"/>
        <rFont val="Cambria"/>
        <family val="1"/>
        <scheme val="major"/>
      </rPr>
      <t>. METAL WORKS</t>
    </r>
  </si>
  <si>
    <t>01</t>
  </si>
  <si>
    <t>50mm thick C-5 lean concrete with minimum cement content of 150kg/m3 of concrete under</t>
  </si>
  <si>
    <r>
      <t xml:space="preserve">REINFORCED CONCRETE GRADE C-25 (25 MPa) </t>
    </r>
    <r>
      <rPr>
        <sz val="11"/>
        <rFont val="Calibri"/>
        <family val="2"/>
        <scheme val="minor"/>
      </rPr>
      <t>cast into formworks and vibrated around rod reinforcement bars.</t>
    </r>
    <r>
      <rPr>
        <b/>
        <sz val="11"/>
        <rFont val="Calibri"/>
        <family val="2"/>
        <scheme val="minor"/>
      </rPr>
      <t xml:space="preserve">
NB</t>
    </r>
    <r>
      <rPr>
        <sz val="11"/>
        <rFont val="Calibri"/>
        <family val="2"/>
        <scheme val="minor"/>
      </rPr>
      <t>: Form work and reinforcement steel will measured elsewhere.</t>
    </r>
    <r>
      <rPr>
        <b/>
        <sz val="11"/>
        <rFont val="Calibri"/>
        <family val="2"/>
        <scheme val="minor"/>
      </rPr>
      <t xml:space="preserve">
</t>
    </r>
  </si>
  <si>
    <r>
      <t>m</t>
    </r>
    <r>
      <rPr>
        <sz val="11"/>
        <rFont val="Calibri"/>
        <family val="2"/>
      </rPr>
      <t>²</t>
    </r>
  </si>
  <si>
    <t>5.1</t>
  </si>
  <si>
    <t>5.1.1</t>
  </si>
  <si>
    <t>6.1</t>
  </si>
  <si>
    <t>6.1.1</t>
  </si>
  <si>
    <t>6.1.2</t>
  </si>
  <si>
    <t xml:space="preserve"> ELECTRICAL INSTALLATION</t>
  </si>
  <si>
    <r>
      <rPr>
        <b/>
        <sz val="18"/>
        <color indexed="8"/>
        <rFont val="Cambria"/>
        <family val="1"/>
        <scheme val="major"/>
      </rPr>
      <t>04.</t>
    </r>
    <r>
      <rPr>
        <sz val="18"/>
        <color indexed="8"/>
        <rFont val="Cambria"/>
        <family val="1"/>
        <scheme val="major"/>
      </rPr>
      <t xml:space="preserve">  ROOFING</t>
    </r>
  </si>
  <si>
    <t>ROOF WORK</t>
  </si>
  <si>
    <t>SUB TOTAL ROOF WORK ETH BIRR</t>
  </si>
  <si>
    <t>DOCTORS WITH AFRICA- CUAMM</t>
  </si>
  <si>
    <t>1.1</t>
  </si>
  <si>
    <t>1.1.1</t>
  </si>
  <si>
    <t>2.1</t>
  </si>
  <si>
    <t>2.1.1</t>
  </si>
  <si>
    <t>2.1.1.1</t>
  </si>
  <si>
    <t>2.1.2</t>
  </si>
  <si>
    <t>2.1.2.1</t>
  </si>
  <si>
    <t>2.1.2.1.1</t>
  </si>
  <si>
    <t>06</t>
  </si>
  <si>
    <t>08</t>
  </si>
  <si>
    <t>8.1</t>
  </si>
  <si>
    <t>8.2</t>
  </si>
  <si>
    <t>09</t>
  </si>
  <si>
    <t xml:space="preserve"> Light Points</t>
  </si>
  <si>
    <t>Flush Mounted Socket Outlet Points</t>
  </si>
  <si>
    <t xml:space="preserve">Flush Mounted Socket Outlets with Earth Contact </t>
  </si>
  <si>
    <t>SPECIFICATIONS AND BILL OF QUANTITIES WITH ENGINEERING ESTIMATE</t>
  </si>
  <si>
    <t>PROJECT:</t>
  </si>
  <si>
    <t>LOCATION:</t>
  </si>
  <si>
    <t xml:space="preserve">Prepared by:- Solomon Tesfay  </t>
  </si>
  <si>
    <t>OWNER:</t>
  </si>
  <si>
    <t>Preamble to the Bill of Quantities</t>
  </si>
  <si>
    <t>1.   The Bill of Quantities shall be read in conjunction with the Drawings and Technical Specifications.</t>
  </si>
  <si>
    <t>2.   The Bill of Quantities contains the following part Bills and Schedules:</t>
  </si>
  <si>
    <t>3. The Quantities given in the Bill of Quantities are estimated and provisional, and are given to provide a common basis for bidding. The estimated contract quantity of each item of works will be set at the time of contract signing. In addition to this the basis of payment will be the actual quantities of work ordered and carried out, as measured by the Contractor and verified by the Engineer and valued at the rates and prices bid in the priced Bill of Quantities, where applicable, and otherwise at such rates and prices as the Engineer may fix within the terms of the Contract.</t>
  </si>
  <si>
    <t>4.  The rates and prices bid in the priced Bill of Quantities shall, except insofar as it is otherwise provided under the Contract, include all Constructional Plant, Labor, supervision, materials, erection, maintenance, insurance, profit, taxes, and duties, together with all general risks, liabilities, and obligations set out or implied in the Contract.</t>
  </si>
  <si>
    <t>5. A rate or price shall be entered against each item in the priced Bill of Quantities, whether quantities are stated or not. The cost of Items against which the Contractor has failed to enter a rate or price shall be deemed to be covered by other rates and prices entered in the Bill of Quantities.</t>
  </si>
  <si>
    <t>6. The rates in this Bill of quantities shall consider all incidental works required to protect existing structures.</t>
  </si>
  <si>
    <t>7. Items associated with a priced item necessary for its satisfactory fixing shall be considered as included in the rate of the item.</t>
  </si>
  <si>
    <t>8. The rates given for Provisional Quantities (PQ) will be binding if the client decides to incorporate these works as additional works.</t>
  </si>
  <si>
    <t>9. The whole cost of complying with the provisions of the Contract shall be included in the Items provided in the priced Bill of Quantities, and where no Items are provided, the cost shall be deemed to be distributed among the rates and prices entered for the related Items of Work.</t>
  </si>
  <si>
    <t>10. The Overhead &amp; risk and the gross profit for variation orders will be 35% .</t>
  </si>
  <si>
    <t>11. General directions and descriptions of work and materials are not necessarily repeated nor summarized in the Bill of Quantities. References to the relevant sections of the contract documentation shall be made before entering prices against each item in the priced Bill of Quantities.</t>
  </si>
  <si>
    <t>12. The method of measurement of completed work for payment shall be in accordance with Standard Methods of Measurement ECPN-4.</t>
  </si>
  <si>
    <t>13. The Bill of Quantities contains items</t>
  </si>
  <si>
    <t>a.   Supplied and installed by the Prime contractor</t>
  </si>
  <si>
    <t>b.   Provisional Quantities Supplied and installed by the Prime contractor</t>
  </si>
  <si>
    <t>c.   Provisional Sum Items supplied by the Client  and installed by the Prime Contractor</t>
  </si>
  <si>
    <t>d.  Provisional Sum Items Supplied and installed by Nominated Sub-contractor</t>
  </si>
  <si>
    <t>14. Provisional Sums included and so designated in the Bill of Quantities shall be expended in whole or in part at the direction and discretion of the Engineer.</t>
  </si>
  <si>
    <r>
      <rPr>
        <sz val="12"/>
        <rFont val="Garamond"/>
        <family val="1"/>
      </rPr>
      <t>15. The duties and responsibilities of the Prime Contractor for items 13(b), 13(c) and 13 (d) above are deemed to be covered by the Contractor’s charge indicated in here. The duties and responsibilities of the Prime Contractor in addition to those indicated in the Bill of Quantities are:-</t>
    </r>
  </si>
  <si>
    <t>a.   Handle and store materials at site both for prime contractor, the Client and nominated sub-contractor works.</t>
  </si>
  <si>
    <t>b. Provide utilities like power, water and other necessary utilities for use by the Client and nominated sub-contractors.</t>
  </si>
  <si>
    <t>c. Provide within the site transport and lifting equipment for all loading and unloading purposes and all required transportation within the site as required by the Client and nominated sub-contractors.</t>
  </si>
  <si>
    <t>d.  Provide scaffolding, ladder, etc as needed</t>
  </si>
  <si>
    <t>e. Execute any incidental works, like concrete work, earthwork, finishing, patching, and chiseling as required by the Client and nominated sub- contractors.</t>
  </si>
  <si>
    <t>f.   Removal of debris and clean the site at completion</t>
  </si>
  <si>
    <t>16. Errors will be corrected by the Employer for any arithmetic errors in computation or summation as follows:</t>
  </si>
  <si>
    <t>(a) where there is discrepancy between amounts in figures and in words, the amount in words will govern</t>
  </si>
  <si>
    <t>(b) where there is a discrepancy between the unit rate and the total amount derived from the multiplication of the unit price and the quantity, the unit rate as quoted will govern.</t>
  </si>
  <si>
    <t>17. Rock is defined as all materials which, in the opinion of the Engineer, require blasting, or the use of metal wedges and sledgehammers, or the use of compressed air drilling for their removal, and which cannot be extracted by ripping with a tractor of at least 150 brake hp with a single, rear-mounted, heavy-duty ripper.</t>
  </si>
  <si>
    <t>18. A type of bonding agent used for bonding old concrete to newly fresh one should get approval before application and the cost in connection with the bonding old concrete to newly fresh one shall be born by the Contractor.</t>
  </si>
  <si>
    <t>19. All provision for sanitary pipe passage, Electrical and Sanitary ducts and provision of sleeves will have to be done during concrete works as per the Electrical and Sanitary drawings and they are deemed to be included in the other rates and prices entered in the Bill of Quantities.</t>
  </si>
  <si>
    <t>20. The Contractor is responsible for the detail assessment of the Site conditions and any measure to be taken is included in the rates.</t>
  </si>
  <si>
    <t>21. The removal of Surplus excavated material shall be to an appropriate place away from the construction site. The contractor shall also make arrangement to damp this surplus excavated material to the owner place by the Direction of the Resident Engineer.</t>
  </si>
  <si>
    <r>
      <t>22. The Contractor shall submit catalogues with full description for Items under all Divisions which include, but are not limited to: Finishing Materials, Electrical, Sanitary fittings &amp; Equipments and shall get approval by the Engineer before purchasing or ordering</t>
    </r>
    <r>
      <rPr>
        <sz val="12"/>
        <color rgb="FFFF0000"/>
        <rFont val="Garamond"/>
        <family val="1"/>
      </rPr>
      <t>.</t>
    </r>
  </si>
  <si>
    <t>23. All Electrical and Sanitary works /installation/ shall be done by experienced staff or specialized sub-contractor or personnel who have a minimum of eight years experience with similar works &amp; this has to be approved by the Engineer based on their CVs &amp; educational background and certification and recommendation and/or supervision by suppliers.</t>
  </si>
  <si>
    <t>24. All Electrical and Sanitary works shall be tested &amp; commissioned prior to filling chiseled cavities, installing ceilings, covering vertical &amp; horizontal ducts &amp; back filling trenches. The Contractor shall be fully responsible for all systems.</t>
  </si>
  <si>
    <t>25. The Prime contractor shall submit samples of all finishing materials installed by himself and by nominated sub-contractors for approval by the Engineer and the Employer.</t>
  </si>
  <si>
    <r>
      <t xml:space="preserve">Cast in place concrete is concrete premixed at a batching plant and transported to the work site or concrete whose ingredients are transported to the site and mixed just before casting in place.
Provide cement, aggregate, water admixture, labor equipment and tools for cast in place concrete as required for the satisfactory installation of the works.
Quality Assurance
</t>
    </r>
    <r>
      <rPr>
        <b/>
        <sz val="11"/>
        <rFont val="Calibri"/>
        <family val="2"/>
        <scheme val="minor"/>
      </rPr>
      <t>031 Standards</t>
    </r>
    <r>
      <rPr>
        <sz val="11"/>
        <rFont val="Calibri"/>
        <family val="2"/>
        <scheme val="minor"/>
      </rPr>
      <t xml:space="preserve">
Comply with the following standards.
ES C. D5 201General Requirement, Portland cement,
ES C. D8 490Methods of Sampling and testing Portland cement, ESI
ES C. D3 201Normal Concrete aggregate, ESI
ASTM C260 Air-entraining admixtures,
ASTM C494  Water-reducing, retarding and accelerating admixtures.
ASTM C94Mixing water for concrete.
ASTM C330 Light weight aggregate for structural concrete
</t>
    </r>
  </si>
  <si>
    <r>
      <rPr>
        <b/>
        <sz val="11"/>
        <rFont val="Calibri"/>
        <family val="2"/>
        <scheme val="minor"/>
      </rPr>
      <t>Cement Mortar Plastering to internal wall. plas</t>
    </r>
    <r>
      <rPr>
        <sz val="11"/>
        <rFont val="Calibri"/>
        <family val="2"/>
        <scheme val="minor"/>
      </rPr>
      <t xml:space="preserve">ter shall be applied in two coats of mortar with the following ratio: 
First coat:  1 Part cement to 2.5 parts aggregate by volume.
Second Coat: 1 Part of cement to 3 parts of aggregate by volume.
The work includes chiseling for vertical concrete wall, columns and vertical beams.
</t>
    </r>
  </si>
  <si>
    <t>DEMOLISHING WORKS</t>
  </si>
  <si>
    <t>DEMOLISHING WORKS OF DIFFERENT STRUCTURES</t>
  </si>
  <si>
    <t>1.1.3</t>
  </si>
  <si>
    <t>Member</t>
  </si>
  <si>
    <t>Shape</t>
  </si>
  <si>
    <t>Dia</t>
  </si>
  <si>
    <t>length</t>
  </si>
  <si>
    <t>No of bar</t>
  </si>
  <si>
    <t>No of member</t>
  </si>
  <si>
    <t>Ø6</t>
  </si>
  <si>
    <t>Ø8</t>
  </si>
  <si>
    <t>Ø10</t>
  </si>
  <si>
    <t>Ø12</t>
  </si>
  <si>
    <t>Ø14</t>
  </si>
  <si>
    <t>Ø16</t>
  </si>
  <si>
    <t>Ø20</t>
  </si>
  <si>
    <t>Ø24</t>
  </si>
  <si>
    <t>total length (m)</t>
  </si>
  <si>
    <t>weight per meter(Kg/m)</t>
  </si>
  <si>
    <t>total weight  (kg)</t>
  </si>
  <si>
    <t>Extra Over Light Points for Flush Mounted Switches</t>
  </si>
  <si>
    <t>SUB TOTAL DEMOLITION WORK ETH BIRR</t>
  </si>
  <si>
    <r>
      <rPr>
        <b/>
        <sz val="18"/>
        <color indexed="8"/>
        <rFont val="Cambria"/>
        <family val="1"/>
        <scheme val="major"/>
      </rPr>
      <t>01.</t>
    </r>
    <r>
      <rPr>
        <sz val="18"/>
        <color indexed="8"/>
        <rFont val="Cambria"/>
        <family val="1"/>
        <scheme val="major"/>
      </rPr>
      <t xml:space="preserve">  DEMOLITION WORK</t>
    </r>
  </si>
  <si>
    <t>10.1.1</t>
  </si>
  <si>
    <t>10.2.1</t>
  </si>
  <si>
    <t>10.3.1</t>
  </si>
  <si>
    <t>2.1.2.2</t>
  </si>
  <si>
    <t>2.1.2.2.1</t>
  </si>
  <si>
    <t>Supply and fix roof cover in precoated or galvanized EGA 400,0.4mm thick fixed to steel lattice purlin. Price shall include ridge cap, Dia 6mm fixing J-bolts and water proof washers.(purlin measured in horizontal projection)</t>
  </si>
  <si>
    <t>MECHANICAL INSTALLATION</t>
  </si>
  <si>
    <t>set</t>
  </si>
  <si>
    <t>SIHUL SHIRE NICU RENOVATION</t>
  </si>
  <si>
    <t>SHIRE, ETHIOPIA</t>
  </si>
  <si>
    <t>a.   Bill No. 1 – Sihul Shire NICU Renovation</t>
  </si>
  <si>
    <r>
      <rPr>
        <b/>
        <sz val="11"/>
        <rFont val="Calibri"/>
        <family val="2"/>
        <scheme val="minor"/>
      </rPr>
      <t xml:space="preserve">Gypsum Plaster  to internal wall: </t>
    </r>
    <r>
      <rPr>
        <sz val="11"/>
        <rFont val="Calibri"/>
        <family val="2"/>
        <scheme val="minor"/>
      </rPr>
      <t xml:space="preserve">Plaster shall be applied in one coat of 3mm thick gypsum : 
The final fine coat gypsum plaster to be applied by trowel shall consist of one part of gypsum to three parts of lime putty, applied to a thickness of 3mm. The plaster shall be finished truly level and smooth. The plaster shall be allowed to cure. No finish shall be applied to gypsum plaster before the age of 28 days.
</t>
    </r>
  </si>
  <si>
    <t>SANITARY WORK</t>
  </si>
  <si>
    <r>
      <t xml:space="preserve">Supply and fix </t>
    </r>
    <r>
      <rPr>
        <u/>
        <sz val="11"/>
        <color rgb="FF000000"/>
        <rFont val="Calibri"/>
        <family val="2"/>
      </rPr>
      <t>High quality</t>
    </r>
    <r>
      <rPr>
        <sz val="11"/>
        <color rgb="FF000000"/>
        <rFont val="Calibri"/>
        <family val="2"/>
      </rPr>
      <t xml:space="preserve"> Gold Dragon or equivalent brand  </t>
    </r>
    <r>
      <rPr>
        <u/>
        <sz val="11"/>
        <color rgb="FF000000"/>
        <rFont val="Calibri"/>
        <family val="2"/>
      </rPr>
      <t>Hand wash Basin</t>
    </r>
    <r>
      <rPr>
        <sz val="11"/>
        <color rgb="FF000000"/>
        <rFont val="Calibri"/>
        <family val="2"/>
      </rPr>
      <t xml:space="preserve">. The fixture shall conform to BS5506-3 or equivalent institution. The  mixing faucets, waste drain holes, bottle trap, waste fitting, connecting pieces, fixing, </t>
    </r>
    <r>
      <rPr>
        <u/>
        <sz val="11"/>
        <color rgb="FF000000"/>
        <rFont val="Calibri"/>
        <family val="2"/>
      </rPr>
      <t>female attakini(60cm long)</t>
    </r>
    <r>
      <rPr>
        <sz val="11"/>
        <color rgb="FF000000"/>
        <rFont val="Calibri"/>
        <family val="2"/>
      </rPr>
      <t xml:space="preserve"> and supporting elements and all other accessories shall comply with relevant clauses of BS standard or equivalent institution.     size:</t>
    </r>
    <r>
      <rPr>
        <u/>
        <sz val="11"/>
        <color rgb="FF000000"/>
        <rFont val="Calibri"/>
        <family val="2"/>
      </rPr>
      <t>520x420mmx850 mm high</t>
    </r>
  </si>
  <si>
    <t>pcs</t>
  </si>
  <si>
    <t xml:space="preserve">Supply and fix Turkish Type Water closet made of enameled sheet steel. The fixture shall conform to British Standard Specification. The waste fittings,  connecting pieces, fixing and supporting elements and Complete with all the necessary  accessories.  </t>
  </si>
  <si>
    <t>Supply and fix stainless steel Sink , double bowel, complete with trap, drain connection, drainage and over flow, heavy duty  mixing faucet, plug, chain, etc. and all other necessary faucet, plug, chain, etc. and all other necessary accessories.  Size:- 1500 x 500 x150mm (bowl depth)</t>
  </si>
  <si>
    <r>
      <t xml:space="preserve">Supply  and fix High quality  Gold Dragon or equivalent brand press type dual flush (half and full flush) type </t>
    </r>
    <r>
      <rPr>
        <u/>
        <sz val="11"/>
        <color theme="1"/>
        <rFont val="Calibri"/>
        <family val="2"/>
      </rPr>
      <t>Water closet</t>
    </r>
    <r>
      <rPr>
        <sz val="11"/>
        <color theme="1"/>
        <rFont val="Calibri"/>
        <family val="2"/>
      </rPr>
      <t xml:space="preserve"> (cistern and seat not monolithically casted). The fixture shall conform to BS5503-2 or equivalent institutions. The drain pipes and fitting, connecting pieces, fixing with female adaptor flexible pipe (60cm long) and supporting element and other accessories which complete the set shall comply with the relevant clauses of BS standards or equivalent institution. The water closet type must be </t>
    </r>
    <r>
      <rPr>
        <u/>
        <sz val="11"/>
        <color theme="1"/>
        <rFont val="Calibri"/>
        <family val="2"/>
      </rPr>
      <t xml:space="preserve">horizontal type with p trap </t>
    </r>
    <r>
      <rPr>
        <sz val="11"/>
        <color theme="1"/>
        <rFont val="Calibri"/>
        <family val="2"/>
      </rPr>
      <t>connection.</t>
    </r>
  </si>
  <si>
    <t>Supply, Install and Test all Electrical Systems: Power Distribution Boards with Circuit Breakers, Light Fittings with Lamps, Switches, Outlets and Others including required items and accessories. All items shall be Industry standard and approved equivalent types.</t>
  </si>
  <si>
    <t xml:space="preserve"> Extra Over Light Points for Switches </t>
  </si>
  <si>
    <t>Kangaroo Mother Care Unit</t>
  </si>
  <si>
    <r>
      <t>Flush mounted light points fed through PVC insulated conductors of 3x2.5mm</t>
    </r>
    <r>
      <rPr>
        <vertAlign val="superscript"/>
        <sz val="11"/>
        <color theme="1"/>
        <rFont val="Calibri"/>
        <family val="2"/>
      </rPr>
      <t>2</t>
    </r>
    <r>
      <rPr>
        <sz val="11"/>
        <color theme="1"/>
        <rFont val="Calibri"/>
        <family val="2"/>
      </rPr>
      <t xml:space="preserve"> inside PVC conduits of 16mm diameter, including junction boxes with covers and insulating screw cap connectors.
</t>
    </r>
  </si>
  <si>
    <r>
      <rPr>
        <sz val="11"/>
        <color theme="1"/>
        <rFont val="Calibri"/>
        <family val="2"/>
      </rPr>
      <t>16A/1P socket outlet points fed through PVC insulated conductors of 3x2.5mm</t>
    </r>
    <r>
      <rPr>
        <vertAlign val="superscript"/>
        <sz val="11"/>
        <color theme="1"/>
        <rFont val="Calibri"/>
        <family val="2"/>
      </rPr>
      <t>2</t>
    </r>
    <r>
      <rPr>
        <sz val="11"/>
        <color theme="1"/>
        <rFont val="Calibri"/>
        <family val="2"/>
      </rPr>
      <t xml:space="preserve"> inside PVC conduit of 16mm diameter including junction boxes with covers and insulating screw cap connectors.</t>
    </r>
  </si>
  <si>
    <t>Light Fittings</t>
  </si>
  <si>
    <t>Supply, Connect and Test lamps and complete accessories.</t>
  </si>
  <si>
    <t>SUB TOTAL FOR ELECTRICAL WORK ETH BIRR</t>
  </si>
  <si>
    <t>10</t>
  </si>
  <si>
    <t>Triage</t>
  </si>
  <si>
    <t>Critical Room</t>
  </si>
  <si>
    <t>Septic Room</t>
  </si>
  <si>
    <t>Toilet</t>
  </si>
  <si>
    <t>SANITARY APPLIANCES INSTALLATION</t>
  </si>
  <si>
    <t xml:space="preserve"> WATER SUPPLY SYSTEM</t>
  </si>
  <si>
    <t>Supply and install Polypropylene Random Co-polymer resins (PP Type 3 raw material) PPR PN-20 to internal cold water distribution system as shown on the drawing. Complete with all the necessary fittings and accessories. All diameters specified here are internal (Nominal) diameters.</t>
  </si>
  <si>
    <t xml:space="preserve"> a)  Dia. 25 mm                                                    </t>
  </si>
  <si>
    <t>WASTE WATER DRAINAGE SYSTEM</t>
  </si>
  <si>
    <t xml:space="preserve">All domestic waste, vent and storm water pipe lines shall be comply to BS 459, BS 4660, BS 5481 as appropriate, using double ring seals and gaskets complying with BS 2394  uPVC, PN-6  pipes and shall be provided with a minimum slope as stated in the drawing. Pipes and necessary fittings shall be standard quality and be free from damage during storage, construction and etc. Unit price shall include all the necessary assistance civil works, such as excavation cartaway, fixing or hanging to walls, beams or slabs. etc., necessary fittings such as bends, Y, etc. Storm water uPVC, PN-6 pipes shall resist the external temperature and the quality shall meet the purpose. Flushing and testing of waste water system. Flushing has to be done to clean the pipe line from debris and silts. All  waste water Pipe shall be tested by water pressure of 1.5 meters head for minimum of Four Hours. </t>
  </si>
  <si>
    <t xml:space="preserve">Providing, laying and jointing of internal uPVC PN-6 waste pipes with all uPVC pipe fittings including jointing with solvent cement joints and testing of joints etc. according to where shown on the drawings. Complete with all the necessary fittings. Provide cleaning detail for all waste water riser pipes as per the detail drawing. </t>
  </si>
  <si>
    <t xml:space="preserve">     Dia. 50 mm, Outer diameter</t>
  </si>
  <si>
    <t xml:space="preserve">     Dia. 110 mm, Outer diameter</t>
  </si>
  <si>
    <t xml:space="preserve">     Dia. 160 mm, Outer diameter</t>
  </si>
  <si>
    <t>All fixtures, equipments, pipes &amp; materials which are specified below shall be subject to the Engineer's approval, based on Samples, Catalogues and/or Brochures presented by the contractor. Unit Price shall include all the necessary installation accessories and all assistance civil works there to for the proper installation and operation of the sanitary wares, pipe works and any other related sanitary works.</t>
  </si>
  <si>
    <t>07</t>
  </si>
  <si>
    <t>7.1.1</t>
  </si>
  <si>
    <t>7.1.2</t>
  </si>
  <si>
    <t>7.1</t>
  </si>
  <si>
    <t>Aluminum doors</t>
  </si>
  <si>
    <r>
      <rPr>
        <sz val="11"/>
        <color theme="1"/>
        <rFont val="Calibri"/>
        <family val="2"/>
      </rPr>
      <t>m</t>
    </r>
    <r>
      <rPr>
        <vertAlign val="superscript"/>
        <sz val="11"/>
        <color theme="1"/>
        <rFont val="Calibri"/>
        <family val="2"/>
      </rPr>
      <t>2</t>
    </r>
  </si>
  <si>
    <t>6.2</t>
  </si>
  <si>
    <t>LTZ Windows</t>
  </si>
  <si>
    <t>6.1.3</t>
  </si>
  <si>
    <t>6.1.4</t>
  </si>
  <si>
    <t>Supply and Apply three coats of Acrylic Emulsion paint to internal plastered wall surfaces. Cost includes clean both surfaces and fix all cracks with Masonry Filler. Color to be approved by the Architect/Engineer.</t>
  </si>
  <si>
    <t xml:space="preserve">The contractor is responsible for covering any costs incurred due to damage of utility lines and care shall be taken for all existing utilities that could be covered or exposed to view throughout the project execution period.
</t>
  </si>
  <si>
    <t>1.1.4</t>
  </si>
  <si>
    <t>Under Corridor (Connecting to Gynecology)</t>
  </si>
  <si>
    <t>2.1.2.1.2</t>
  </si>
  <si>
    <t>11</t>
  </si>
  <si>
    <t>SUB TOTAL FOR SANITARY WORK ETH BIRR</t>
  </si>
  <si>
    <t>SUB TOTAL FOR MECHANICAL WORK ETH BIRR</t>
  </si>
  <si>
    <t>Supply and fix 9mm  thick high quality laminated PVC ceiling with all its accessories as per the Engineer's approval in parts of the verandah and in all rooms. The ceiling color and material type shall be approved by the engineer.</t>
  </si>
  <si>
    <t>10cm Slab for Corridor connecting to Gynecology</t>
  </si>
  <si>
    <t>Supply and Apply Varnish Paint on External rendered wall surface</t>
  </si>
  <si>
    <t>Description</t>
  </si>
  <si>
    <t>m2</t>
  </si>
  <si>
    <t>200mm thick</t>
  </si>
  <si>
    <t>External wall</t>
  </si>
  <si>
    <t>Porcelain Skirting</t>
  </si>
  <si>
    <t>Windowsill</t>
  </si>
  <si>
    <t>Doorsill</t>
  </si>
  <si>
    <t>m</t>
  </si>
  <si>
    <t>BILL OF QUANTITY - Sihul Shire Hospital NICU Renovation</t>
  </si>
  <si>
    <t>Sihul Shire Hospital NICU Renovation</t>
  </si>
  <si>
    <t>1.1.2</t>
  </si>
  <si>
    <t>Corridor to Gynecology</t>
  </si>
  <si>
    <t>Oxygen Room</t>
  </si>
  <si>
    <t>Control Room</t>
  </si>
  <si>
    <t>Cover Existing door</t>
  </si>
  <si>
    <t>New Wall</t>
  </si>
  <si>
    <t>Cover Existing Window</t>
  </si>
  <si>
    <t>Handwash</t>
  </si>
  <si>
    <t xml:space="preserve">Toilet </t>
  </si>
  <si>
    <t>Store</t>
  </si>
  <si>
    <t>New Partition Wall</t>
  </si>
  <si>
    <t>Shower</t>
  </si>
  <si>
    <t>Cover Existing Door</t>
  </si>
  <si>
    <t>Staff Room</t>
  </si>
  <si>
    <t>HCB WORK</t>
  </si>
  <si>
    <t>150mm thick</t>
  </si>
  <si>
    <t>DEMOLITION</t>
  </si>
  <si>
    <t>Demolish for New Door</t>
  </si>
  <si>
    <t>Existing Walls</t>
  </si>
  <si>
    <t>Demolish for 2 New Windows</t>
  </si>
  <si>
    <t>Demolish for New Window</t>
  </si>
  <si>
    <t>Demolish Wall between Triage and Toilet</t>
  </si>
  <si>
    <t>Handwashes</t>
  </si>
  <si>
    <t>Demolish Walls on both sides</t>
  </si>
  <si>
    <t>NEW Toilet</t>
  </si>
  <si>
    <t>NEW Staff Room</t>
  </si>
  <si>
    <t>Breastfeeding</t>
  </si>
  <si>
    <t>NEW Septic Room</t>
  </si>
  <si>
    <t xml:space="preserve">Dismantle  metal doors from the walls
</t>
  </si>
  <si>
    <t xml:space="preserve">Dismantle wooden doors from the walls
</t>
  </si>
  <si>
    <t xml:space="preserve">Dismantle metal windows from the walls
</t>
  </si>
  <si>
    <t xml:space="preserve">Demolish Existing walls
</t>
  </si>
  <si>
    <t xml:space="preserve">Dismantle Chipwood Ceiling
</t>
  </si>
  <si>
    <t xml:space="preserve">Price shall include clearing the working area and disposing the debris to an appropriate location as per the Supervisor's indication.
</t>
  </si>
  <si>
    <t xml:space="preserve">Aluminum door size 120*210cm [NEW KMC]
</t>
  </si>
  <si>
    <t>1.1.5</t>
  </si>
  <si>
    <t xml:space="preserve">Dismantle Aluminum Curtain walls [CONTROL ROOM]
</t>
  </si>
  <si>
    <t>Aluminum Windows</t>
  </si>
  <si>
    <t>6.3</t>
  </si>
  <si>
    <t>6.3.1</t>
  </si>
  <si>
    <t>6.3.2</t>
  </si>
  <si>
    <t>6.3.3</t>
  </si>
  <si>
    <t>6.3.4</t>
  </si>
  <si>
    <t>Windows: W=150cm H=200cm [NEW SEPTIC ROOM]</t>
  </si>
  <si>
    <t xml:space="preserve">Aluminum door size 100*210cm [NEW SEPTIC ROOM]
</t>
  </si>
  <si>
    <t>1.1.6</t>
  </si>
  <si>
    <t xml:space="preserve">Aluminum door size 255*260cm [ACCESS TO NICU]
</t>
  </si>
  <si>
    <t xml:space="preserve">Aluminum door size 295*260cm [MAIN CORRIDOR]
</t>
  </si>
  <si>
    <t xml:space="preserve">Aluminum door size 120*210cm [TRIAGE]
</t>
  </si>
  <si>
    <t xml:space="preserve">Aluminum door size 90*210cm [MOTHER'S WC]
</t>
  </si>
  <si>
    <t xml:space="preserve">Aluminum door size 80*210cm [STORE]
</t>
  </si>
  <si>
    <t xml:space="preserve">Aluminum partition, length 1195 and height 210cm with 5 doors [MOTHER'S WC]
</t>
  </si>
  <si>
    <t>Windows: W=240cm H=60cm [MOTHER'S WC]</t>
  </si>
  <si>
    <t>Metal windows shall be manufactured from 38X1mm LTZ frame profile and should be  1.5 mm thick. Unit price shall include: two coats of anti rust and three coats of synthetic enamel paint, 6mm thick nonreflective tinted glass, approved quality cylindrical lock, hinges, handle and any other accessories to complete the work.</t>
  </si>
  <si>
    <t>Windows: W=150cm H=150cm [TRIAGE]</t>
  </si>
  <si>
    <t>Windows: W=150cm H=150cm [TOILET]</t>
  </si>
  <si>
    <t>Windows: W=150cm H=150cm [STERILIZATION]</t>
  </si>
  <si>
    <t xml:space="preserve">Aluminum door size 70*210cm [TOILET]
</t>
  </si>
  <si>
    <t xml:space="preserve">Aluminum door size 120*210cm [OFFICE]
</t>
  </si>
  <si>
    <t>MASONRY and BLOCKWORK</t>
  </si>
  <si>
    <r>
      <rPr>
        <b/>
        <sz val="18"/>
        <color indexed="8"/>
        <rFont val="Cambria"/>
        <family val="1"/>
        <scheme val="major"/>
      </rPr>
      <t>03.</t>
    </r>
    <r>
      <rPr>
        <sz val="18"/>
        <color indexed="8"/>
        <rFont val="Cambria"/>
        <family val="1"/>
        <scheme val="major"/>
      </rPr>
      <t xml:space="preserve">  MASONRY and BLOCKWORK</t>
    </r>
  </si>
  <si>
    <t xml:space="preserve">40cm thick Dressed Stone Masonry Wall (one side Well Dressed)
</t>
  </si>
  <si>
    <t>Triage New Wall</t>
  </si>
  <si>
    <t xml:space="preserve">Store New Wall </t>
  </si>
  <si>
    <t>Staff Room New Wall</t>
  </si>
  <si>
    <t xml:space="preserve">Cover Existing Doors and Windows </t>
  </si>
  <si>
    <t>Internal Wall</t>
  </si>
  <si>
    <t>Deduct Openings</t>
  </si>
  <si>
    <t>Doors 1.20x2.10 - 2 Sides</t>
  </si>
  <si>
    <t xml:space="preserve">280x30mm throated and weathered Granite door and window sill bedded in cement mortar (1:3) mix. It shall be chamfered at the edge, provide water drip at bottom face of sill and 2% slope towards outside. All according to the Engineer's approval.
</t>
  </si>
  <si>
    <t>New Windows</t>
  </si>
  <si>
    <r>
      <rPr>
        <b/>
        <sz val="11"/>
        <rFont val="Calibri"/>
        <family val="2"/>
        <scheme val="minor"/>
      </rPr>
      <t xml:space="preserve">Cement Mortar Plaster to External wall: </t>
    </r>
    <r>
      <rPr>
        <sz val="11"/>
        <rFont val="Calibri"/>
        <family val="2"/>
        <scheme val="minor"/>
      </rPr>
      <t xml:space="preserve">Plaster shall be applied in three coats of mortar with a ratio of 1:3. [along NEW external Windows]
The final coat of cement plaster to be applied on two coat plaster shall consist of one part of cement to two parts of fine aggregate complying to BS 1199 by volume applied by trowel to a maximum thickness of 3mm. The surface shall be finished truly level and smooth. This coat shall be cured by watering for a minimum of seven days and allowed to cure for at least 28 days before further finish is applied on it.
</t>
    </r>
  </si>
  <si>
    <t>PLASTERING</t>
  </si>
  <si>
    <t>FLOOR FINISH</t>
  </si>
  <si>
    <t xml:space="preserve">Aluminum door size 70*210cm [HANDWASH ROOM]
</t>
  </si>
  <si>
    <t>Doors 1.00x2.10 -2 Sides</t>
  </si>
  <si>
    <t>Doors 0.90x2.10 - 2 Sides</t>
  </si>
  <si>
    <t>Doors 0.80x2.10 -2 Sides</t>
  </si>
  <si>
    <t>KMC</t>
  </si>
  <si>
    <t>Deduct Doors</t>
  </si>
  <si>
    <t>Deduct Windows</t>
  </si>
  <si>
    <t>Mother's WC</t>
  </si>
  <si>
    <t xml:space="preserve">Breastfeeding Room </t>
  </si>
  <si>
    <t>Sterilization</t>
  </si>
  <si>
    <t>Office</t>
  </si>
  <si>
    <t>Handwash Room</t>
  </si>
  <si>
    <t>Supply and Apply Quartz Paint to External Wall Surface</t>
  </si>
  <si>
    <t>Main Corridor</t>
  </si>
  <si>
    <t>Ceramic Wall Tiles 300x300x6</t>
  </si>
  <si>
    <t>Ceramic Wall Tiles 250x750x8</t>
  </si>
  <si>
    <r>
      <t xml:space="preserve">Supply and fix 600X600X10mm </t>
    </r>
    <r>
      <rPr>
        <b/>
        <sz val="11"/>
        <color theme="1"/>
        <rFont val="Calibri"/>
        <family val="2"/>
      </rPr>
      <t>Porcelain floor tiles</t>
    </r>
    <r>
      <rPr>
        <sz val="11"/>
        <color theme="1"/>
        <rFont val="Calibri"/>
        <family val="2"/>
      </rPr>
      <t xml:space="preserve"> of approved sizes and quality  with cement mortar backing and joints grouted in colored cement. Pattern, color and quality shall be approved by the Engineer.
</t>
    </r>
  </si>
  <si>
    <t>Porcelain Tiles 600x600x10mm</t>
  </si>
  <si>
    <t>WALL FINISH</t>
  </si>
  <si>
    <t>Mother's WC and Shower</t>
  </si>
  <si>
    <t>Breastfeeding Room</t>
  </si>
  <si>
    <t>Ceramic Tiles 300x300x8mm</t>
  </si>
  <si>
    <t xml:space="preserve">100x10mm Porcelain Skirting stuck to wall with cement mortar (1:3)mix.
</t>
  </si>
  <si>
    <r>
      <t xml:space="preserve">Supply and fix 300X300X8mm </t>
    </r>
    <r>
      <rPr>
        <b/>
        <sz val="11"/>
        <color theme="1"/>
        <rFont val="Calibri"/>
        <family val="2"/>
      </rPr>
      <t>Nonslippery Ceramic floor tiles</t>
    </r>
    <r>
      <rPr>
        <sz val="11"/>
        <color theme="1"/>
        <rFont val="Calibri"/>
        <family val="2"/>
      </rPr>
      <t xml:space="preserve"> of approved sizes and quality  with cement mortar backing and joints grouted in colored cement. Pattern, color and quality shall be approved by the Engineer. [TOILETS]
</t>
    </r>
  </si>
  <si>
    <t>Above the 2 Main doors</t>
  </si>
  <si>
    <t xml:space="preserve">Aluminum door size 100*210cm [CRITICAL ROOM]
</t>
  </si>
  <si>
    <t xml:space="preserve">Triage </t>
  </si>
  <si>
    <t>1.20 doors</t>
  </si>
  <si>
    <t>1.00 doors</t>
  </si>
  <si>
    <t>0.90 doors</t>
  </si>
  <si>
    <t>0.80 doors</t>
  </si>
  <si>
    <t>0.70 doors</t>
  </si>
  <si>
    <t xml:space="preserve">Supply and fix  Shower units made of enameled fiber glass, complete with level controlled mixing valve, approved quality flexible shower head, p-smeel trap and with all other necessary accessories. Size:- 700 x 700 mm      </t>
  </si>
  <si>
    <r>
      <t xml:space="preserve">Supply &amp; fix </t>
    </r>
    <r>
      <rPr>
        <u/>
        <sz val="12"/>
        <color rgb="FF000000"/>
        <rFont val="Calibri"/>
        <family val="2"/>
      </rPr>
      <t xml:space="preserve">floor drain (50mm) </t>
    </r>
    <r>
      <rPr>
        <sz val="12"/>
        <color rgb="FF000000"/>
        <rFont val="Calibri"/>
        <family val="2"/>
      </rPr>
      <t>Chrome plated</t>
    </r>
    <r>
      <rPr>
        <sz val="12"/>
        <color theme="1"/>
        <rFont val="Calibri"/>
        <family val="2"/>
      </rPr>
      <t xml:space="preserve"> complete with P-smell trap and all necessary accessories.</t>
    </r>
  </si>
  <si>
    <t xml:space="preserve">Supply and fix PPR service valves of approved standard, capable of resisting PN-10 on internal branch and pipe inlet to toilet, bath room, etc.; </t>
  </si>
  <si>
    <t>Switch Board</t>
  </si>
  <si>
    <t>Including 25% reserve pitches</t>
  </si>
  <si>
    <t>2.1.1.2</t>
  </si>
  <si>
    <t>3.1</t>
  </si>
  <si>
    <t>3.1.1</t>
  </si>
  <si>
    <t>3.1.1.1</t>
  </si>
  <si>
    <t>3.1.1.2</t>
  </si>
  <si>
    <t>3.1.1.3</t>
  </si>
  <si>
    <t>6.1.5</t>
  </si>
  <si>
    <t>6.1.6</t>
  </si>
  <si>
    <t>6.1.7</t>
  </si>
  <si>
    <t>6.1.8</t>
  </si>
  <si>
    <t>6.1.9</t>
  </si>
  <si>
    <t>6.1.10</t>
  </si>
  <si>
    <t>6.1.11</t>
  </si>
  <si>
    <t>6.1.12</t>
  </si>
  <si>
    <t>6.1.13</t>
  </si>
  <si>
    <t>6.2.1</t>
  </si>
  <si>
    <t>5cm Cement Screed Flooring  for Corridor connecting to Gynecology</t>
  </si>
  <si>
    <t>Supply and fix G-28 galvanized flat metal sheet gutter as per the detail drawing. price shall include all the necessary accessories, metal bracket, one coats of antirust. Development length =100cm</t>
  </si>
  <si>
    <t>Providing, laying and jointing of G-28 Galvanized steel circular down pipes complete with all the necessary fittings. Outer diameter Dia. 150 mm</t>
  </si>
  <si>
    <t>Reinforcement work shall be understood as the supply and fixing of reinforcement bars, including ties and chairs. The steel bars shall be high tensile (Grade S-420) hot rolled deformed Reinforcement Steel bar</t>
  </si>
  <si>
    <t xml:space="preserve">Aluminum door size 80*210cm [STAFF ROOM, BREASTFEEDING &amp; STERILIZATION]
</t>
  </si>
  <si>
    <t>6.4</t>
  </si>
  <si>
    <t>Under Ground Floor (Oxygen Shed)</t>
  </si>
  <si>
    <t>10 cm Ground Floor Slab for Oxygen Shed</t>
  </si>
  <si>
    <t>Oxygen Shed</t>
  </si>
  <si>
    <t>Supply and Apply Quartz Paint to Oxygen Shed</t>
  </si>
  <si>
    <t>6.4.1</t>
  </si>
  <si>
    <t>6.4.2</t>
  </si>
  <si>
    <t>Supply and fix 1.5m high Metal Structure for 1.2m x 3m Oxygen Shed with 2.5mm thick galvanized wire mesh having 50x50mm spacing and fixed to 40*40*3mm RHS post at 1m and 40*40*3mm two horizontal RHS members . Price shall include two coats of anti rust and three coats of synthetic enamel paint</t>
  </si>
  <si>
    <t>Upper &amp; lower chord size-diameter 10 - 12 cm</t>
  </si>
  <si>
    <t>Diagonal &amp; vertical Members size-diameter 8 - 10 cm</t>
  </si>
  <si>
    <t>Zigba Purlin  size 5x7cm</t>
  </si>
  <si>
    <t>5.2</t>
  </si>
  <si>
    <t>Wooden Truss and Purlin</t>
  </si>
  <si>
    <t>Supply and fix wooden truss and purlin for the 1.2x3m Oxygen Shed All structural members shall be free of harmful defects and painted with anti termite solutions. Each truss shall be firmly fixed with the beam by a 6mm plain bar.</t>
  </si>
  <si>
    <t>5.2.1</t>
  </si>
  <si>
    <t>5.2.2</t>
  </si>
  <si>
    <t>5.2.3</t>
  </si>
  <si>
    <t>Supply and fix 1000x2000m Metal door manufactured from 38X1mm LTZ frame profile and 0.8 mm thick ribbed sheet. Unit price shall include: two coats of anti rust and three coats of synthetic enamel paint, approved quality cylindrical lock, hinges, handle and any other accessories to complete the work.</t>
  </si>
  <si>
    <t>Panel LED 60x60 24W, 3500lm lf 30000hr 4000k</t>
  </si>
  <si>
    <t>Flush mounting single switch 774001+774041</t>
  </si>
  <si>
    <r>
      <t>Flush mounted Single switch points fed through PVC insulated conductors of 3x2.5mm</t>
    </r>
    <r>
      <rPr>
        <vertAlign val="superscript"/>
        <sz val="11"/>
        <color theme="1"/>
        <rFont val="Calibri"/>
        <family val="2"/>
      </rPr>
      <t>2</t>
    </r>
    <r>
      <rPr>
        <sz val="11"/>
        <color theme="1"/>
        <rFont val="Calibri"/>
        <family val="2"/>
      </rPr>
      <t xml:space="preserve"> inside PVC conduits of 16mm diameter, including junction boxes 
</t>
    </r>
  </si>
  <si>
    <t>9.5.1</t>
  </si>
  <si>
    <t>Supply and Apply two coats of anti rust and three coats of synthetic enamel paint</t>
  </si>
  <si>
    <r>
      <t xml:space="preserve">Existing </t>
    </r>
    <r>
      <rPr>
        <b/>
        <sz val="11"/>
        <color theme="1"/>
        <rFont val="Calibri"/>
        <family val="2"/>
      </rPr>
      <t>LTZ Windows</t>
    </r>
  </si>
  <si>
    <t>H=1.0</t>
  </si>
  <si>
    <r>
      <t>Supply and fix 2</t>
    </r>
    <r>
      <rPr>
        <b/>
        <sz val="11"/>
        <color theme="1"/>
        <rFont val="Calibri"/>
        <family val="2"/>
      </rPr>
      <t>00x200x6mm</t>
    </r>
    <r>
      <rPr>
        <sz val="11"/>
        <color theme="1"/>
        <rFont val="Calibri"/>
        <family val="2"/>
      </rPr>
      <t xml:space="preserve"> white glazed </t>
    </r>
    <r>
      <rPr>
        <b/>
        <sz val="11"/>
        <color theme="1"/>
        <rFont val="Calibri"/>
        <family val="2"/>
      </rPr>
      <t>Ceramic wall tiles</t>
    </r>
    <r>
      <rPr>
        <sz val="11"/>
        <color theme="1"/>
        <rFont val="Calibri"/>
        <family val="2"/>
      </rPr>
      <t xml:space="preserve"> with cement mortar ratio 1:2). Price shall include grouting with matching color and other necessary works. [MOTHER'S WC &amp; SHOWERS and TOILET]
</t>
    </r>
  </si>
  <si>
    <r>
      <t xml:space="preserve">Supply and fix </t>
    </r>
    <r>
      <rPr>
        <b/>
        <sz val="11"/>
        <color theme="1"/>
        <rFont val="Calibri"/>
        <family val="2"/>
      </rPr>
      <t>250x750x8mm Ceramic wall tiles</t>
    </r>
    <r>
      <rPr>
        <sz val="11"/>
        <color theme="1"/>
        <rFont val="Calibri"/>
        <family val="2"/>
      </rPr>
      <t xml:space="preserve"> with adhesive powder upto a height of 1.80m. Price shall include all necessary works. [CRITICAL ROOM, SEPTIC ROOM and MAIN CORRIDOR]
</t>
    </r>
  </si>
  <si>
    <t>Mother's WC &amp; Shower</t>
  </si>
  <si>
    <t>Circular Panel LED 18W, 2750lm lf 30000hr 4000k wp</t>
  </si>
  <si>
    <t>Flush mounting two way switch 774006+774041</t>
  </si>
  <si>
    <t>Flush mounting single socket of 10A/1P</t>
  </si>
  <si>
    <t>7.1.3</t>
  </si>
  <si>
    <t>7.2</t>
  </si>
  <si>
    <t>7.2.1</t>
  </si>
  <si>
    <t>7.2.2</t>
  </si>
  <si>
    <t>7.2.3</t>
  </si>
  <si>
    <t>7.2.4</t>
  </si>
  <si>
    <t>7.2.5</t>
  </si>
  <si>
    <t>7.2.6</t>
  </si>
  <si>
    <t>7.2.7</t>
  </si>
  <si>
    <t>8.3</t>
  </si>
  <si>
    <t>8.4</t>
  </si>
  <si>
    <t>8.5</t>
  </si>
  <si>
    <t>8.5.1</t>
  </si>
  <si>
    <t>8.5.2</t>
  </si>
  <si>
    <r>
      <rPr>
        <b/>
        <sz val="11"/>
        <color theme="1"/>
        <rFont val="Calibri"/>
        <family val="2"/>
      </rPr>
      <t>Metal Structure</t>
    </r>
    <r>
      <rPr>
        <sz val="11"/>
        <color theme="1"/>
        <rFont val="Calibri"/>
        <family val="2"/>
      </rPr>
      <t xml:space="preserve"> along the Corridor connecting the two blocks </t>
    </r>
  </si>
  <si>
    <t>9.1.1</t>
  </si>
  <si>
    <t>9.2.1</t>
  </si>
  <si>
    <t>9.3.1</t>
  </si>
  <si>
    <t>9.3.2</t>
  </si>
  <si>
    <t>9.3.3</t>
  </si>
  <si>
    <t>9.3.4</t>
  </si>
  <si>
    <t>9.3.5</t>
  </si>
  <si>
    <t>9.3.6</t>
  </si>
  <si>
    <t>9.3.7</t>
  </si>
  <si>
    <t>9.3.8</t>
  </si>
  <si>
    <t>9.3.9</t>
  </si>
  <si>
    <t>9.3.10</t>
  </si>
  <si>
    <t>9.3.11</t>
  </si>
  <si>
    <t>9.3.12</t>
  </si>
  <si>
    <t>9.3.13</t>
  </si>
  <si>
    <t>9.4.1</t>
  </si>
  <si>
    <t>9.4.2</t>
  </si>
  <si>
    <t>9.5.1.1</t>
  </si>
  <si>
    <t>9.5.1.2</t>
  </si>
  <si>
    <t>9.5.1.3</t>
  </si>
  <si>
    <t>9.5.1.4</t>
  </si>
  <si>
    <t>9.5.1.5</t>
  </si>
  <si>
    <t>9.5.1.6</t>
  </si>
  <si>
    <t>9.5.1.7</t>
  </si>
  <si>
    <t>9.5.1.8</t>
  </si>
  <si>
    <t>9.5.1.9</t>
  </si>
  <si>
    <t>9.5.1.10</t>
  </si>
  <si>
    <t>9.5.1.11</t>
  </si>
  <si>
    <t>9.6.1</t>
  </si>
  <si>
    <t>9.6.1.1</t>
  </si>
  <si>
    <t>9.6.1.2</t>
  </si>
  <si>
    <t>9.6.1.3</t>
  </si>
  <si>
    <t>9.6.2</t>
  </si>
  <si>
    <t>9.6.2.1</t>
  </si>
  <si>
    <t>9.6.2.2</t>
  </si>
  <si>
    <t>9.6.2.3</t>
  </si>
  <si>
    <t>9.6.2.4</t>
  </si>
  <si>
    <t>9.6.2.5</t>
  </si>
  <si>
    <t>9.6.2.6</t>
  </si>
  <si>
    <t>9.6.2.7</t>
  </si>
  <si>
    <t>9.6.2.8</t>
  </si>
  <si>
    <t>9.7.1</t>
  </si>
  <si>
    <t>9.7.1.1</t>
  </si>
  <si>
    <t>9.7.1.2</t>
  </si>
  <si>
    <t>9.7.1.3</t>
  </si>
  <si>
    <t>9.7.1.4</t>
  </si>
  <si>
    <t>9.7.1.5</t>
  </si>
  <si>
    <t>9.7.1.6</t>
  </si>
  <si>
    <t>9.7.1.7</t>
  </si>
  <si>
    <t>9.7.1.8</t>
  </si>
  <si>
    <t>9.7.1.9</t>
  </si>
  <si>
    <t>9.7.2</t>
  </si>
  <si>
    <t>9.7.2.1</t>
  </si>
  <si>
    <t>9.7.2.2</t>
  </si>
  <si>
    <t>9.7.2.3</t>
  </si>
  <si>
    <t>9.7.2.4</t>
  </si>
  <si>
    <t>10.1.2</t>
  </si>
  <si>
    <t>10.1.3</t>
  </si>
  <si>
    <t>10.1.4</t>
  </si>
  <si>
    <t>10.1.5</t>
  </si>
  <si>
    <t>10.1.6</t>
  </si>
  <si>
    <t>10.2.2</t>
  </si>
  <si>
    <t>10.2.3</t>
  </si>
  <si>
    <t>10.2.4</t>
  </si>
  <si>
    <t>10.2.5</t>
  </si>
  <si>
    <r>
      <rPr>
        <b/>
        <sz val="18"/>
        <color indexed="8"/>
        <rFont val="Cambria"/>
        <family val="1"/>
        <scheme val="major"/>
      </rPr>
      <t>07.</t>
    </r>
    <r>
      <rPr>
        <sz val="18"/>
        <color indexed="8"/>
        <rFont val="Cambria"/>
        <family val="1"/>
        <scheme val="major"/>
      </rPr>
      <t xml:space="preserve"> WALL AND FLOOR FINISHING</t>
    </r>
  </si>
  <si>
    <r>
      <rPr>
        <b/>
        <sz val="18"/>
        <color indexed="8"/>
        <rFont val="Cambria"/>
        <family val="1"/>
        <scheme val="major"/>
      </rPr>
      <t>08</t>
    </r>
    <r>
      <rPr>
        <sz val="18"/>
        <color indexed="8"/>
        <rFont val="Cambria"/>
        <family val="1"/>
        <scheme val="major"/>
      </rPr>
      <t>. PAINTING</t>
    </r>
  </si>
  <si>
    <r>
      <rPr>
        <b/>
        <sz val="18"/>
        <color indexed="8"/>
        <rFont val="Cambria"/>
        <family val="1"/>
        <scheme val="major"/>
      </rPr>
      <t>09</t>
    </r>
    <r>
      <rPr>
        <sz val="18"/>
        <color indexed="8"/>
        <rFont val="Cambria"/>
        <family val="1"/>
        <scheme val="major"/>
      </rPr>
      <t>. ELECTRICAL WORK</t>
    </r>
  </si>
  <si>
    <r>
      <rPr>
        <b/>
        <sz val="18"/>
        <color indexed="8"/>
        <rFont val="Cambria"/>
        <family val="1"/>
        <scheme val="major"/>
      </rPr>
      <t>10</t>
    </r>
    <r>
      <rPr>
        <sz val="18"/>
        <color indexed="8"/>
        <rFont val="Cambria"/>
        <family val="1"/>
        <scheme val="major"/>
      </rPr>
      <t>. SANITARY WORK</t>
    </r>
  </si>
  <si>
    <r>
      <rPr>
        <b/>
        <sz val="18"/>
        <color indexed="8"/>
        <rFont val="Cambria"/>
        <family val="1"/>
        <scheme val="major"/>
      </rPr>
      <t>11</t>
    </r>
    <r>
      <rPr>
        <sz val="18"/>
        <color indexed="8"/>
        <rFont val="Cambria"/>
        <family val="1"/>
        <scheme val="major"/>
      </rPr>
      <t>. MECHANICAL WORK</t>
    </r>
  </si>
  <si>
    <t>Supply and fix 15mm dia chrome plated brass quarter turn angle valves with chrome plated copper connecting pipe, union nut and chrome plated brass wall flanges, and accessories complete in all respects. The Angle valve should be capable resisting of PN-16 before hand wash basins, water closets and other fixtures.</t>
  </si>
  <si>
    <t>Flush mounting socket outlet twin @+1.20m</t>
  </si>
  <si>
    <t xml:space="preserve">Labor (including all welding and installation material) </t>
  </si>
  <si>
    <t>11.2.1</t>
  </si>
  <si>
    <t>11.2.2</t>
  </si>
  <si>
    <t>Copper tubing, Dia.22mm</t>
  </si>
  <si>
    <t>Copper tubing, Dia.12mm</t>
  </si>
  <si>
    <t xml:space="preserve">Copper tube accessories like T, Elbow, direct, etc connectors </t>
  </si>
  <si>
    <t>Pipe Clip, ring</t>
  </si>
  <si>
    <t>Line Valves</t>
  </si>
  <si>
    <t xml:space="preserve">Flow Meter with Humidifier 0-15 </t>
  </si>
  <si>
    <t>11.8.1</t>
  </si>
  <si>
    <t>11.8.2</t>
  </si>
  <si>
    <t>Wall Outlet Terminals, Oxygen</t>
  </si>
  <si>
    <t>Surface mounted Distribution Board of metal enclosure MDB-UPS with lockable door, complete with bus terminals 50A/3ph, neutral and earth bars consisting of:-</t>
  </si>
  <si>
    <t>1pc main MCB of 40A/3ph</t>
  </si>
  <si>
    <t>1pc RCD of 30mA/4 pole</t>
  </si>
  <si>
    <t>3 pcs MCB of 16A/1ph</t>
  </si>
  <si>
    <t>8 pcs MCB of 20A/1ph</t>
  </si>
  <si>
    <t>2 pcs MCB of 25A/3ph</t>
  </si>
  <si>
    <t>6.5</t>
  </si>
  <si>
    <t>Aluminum Curtain Wall</t>
  </si>
  <si>
    <t>6.5.1</t>
  </si>
  <si>
    <t>Dismantle and Relocate CONTROL ROOM Aluminum Curtain Wall as per the Architectural Drawings.  Price shall include two coats of special aluminum paint. Color to be approved by the Architect/Engineer.</t>
  </si>
  <si>
    <t>Kangaroo Mother Care Unit @+1.20m</t>
  </si>
  <si>
    <t>Critical Room @+1.20m</t>
  </si>
  <si>
    <t>Septic Room @+1.20m</t>
  </si>
  <si>
    <t>9.6.2.9</t>
  </si>
  <si>
    <t>9.5.1.12</t>
  </si>
  <si>
    <t xml:space="preserve">Aluminum doors made of 1.6 mm thick  extruded profiles. The aluminum profiles shall be of approved color with brushed finish cuts. Manufacturing of the doors is subject to the approval of shop drawings to be provided by the Contractor.  Price shall include 6mm thick clear glass, approved type of locks, door stopper  and handle. Hinges, Locks, Profiles and all important accessories  should be approved by the Engineer. 
</t>
  </si>
  <si>
    <t xml:space="preserve">Aluminum windows made of 1.6 mm thick  extruded profiles. The aluminum profiles shall be of approved color with brushed finish cuts. Manufacturing of the windows is subject to the approval of shop drawings to be provided by the Contractor.  Price shall include 6mm thick clear glass, approved type of locks and handle. Hinges, Locks, Profiles and all important accessories  should be approved by the Engineer. 
</t>
  </si>
  <si>
    <r>
      <t xml:space="preserve">Supply and install 5,000 liters capacity Fiber Glass </t>
    </r>
    <r>
      <rPr>
        <sz val="12"/>
        <color rgb="FF000000"/>
        <rFont val="Calibri"/>
        <family val="2"/>
      </rPr>
      <t xml:space="preserve">water tank complete with required gate valves, Ø50mm, inlet (Ø50mm) and  outlet pipe (Ø32mm), over flow (Ø40mm) &amp; drain (Ø40mm), vent pipe and all the necessary  accessories thereto. The tank shall be placed on flat </t>
    </r>
    <r>
      <rPr>
        <sz val="12"/>
        <color theme="1"/>
        <rFont val="Calibri"/>
        <family val="2"/>
      </rPr>
      <t>surface on concrete floor on top of 70cm Masonry Wall included in the price.</t>
    </r>
  </si>
  <si>
    <t>Manual Oxygen Manifold (2 x 3), 500 Lt/min manufactured with the following standards and requirements:                                                                                                                              BS EN 7396-1: Pipeline Systems for Compressed Medical Gases and Vacuum.
BS EN 10524-2: Pressure Regulators.
BS EN 21969 High-Pressure Flexible Connectors.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</si>
</sst>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General_)"/>
    <numFmt numFmtId="166" formatCode="&quot;$&quot;#,##0;[Red]\-&quot;$&quot;#,##0"/>
    <numFmt numFmtId="167" formatCode="_(* #,##0_);_(* \(#,##0\);_(* &quot;-&quot;??_);_(@_)"/>
    <numFmt numFmtId="168" formatCode="&quot; &quot;#,##0.00&quot; &quot;;&quot; (&quot;#,##0.00&quot;)&quot;;&quot; -&quot;00&quot; &quot;;&quot; &quot;@&quot; &quot;"/>
    <numFmt numFmtId="169" formatCode="_(* #,##0.000_);_(* \(#,##0.000\);_(* &quot;-&quot;??_);_(@_)"/>
  </numFmts>
  <fonts count="60">
    <font>
      <sz val="11"/>
      <color theme="1"/>
      <name val="Calibri"/>
      <family val="2"/>
      <scheme val="minor"/>
    </font>
    <font>
      <sz val="11"/>
      <color theme="1"/>
      <name val="Calibri"/>
      <family val="2"/>
      <scheme val="minor"/>
    </font>
    <font>
      <sz val="10"/>
      <name val="Arial"/>
      <family val="2"/>
    </font>
    <font>
      <b/>
      <sz val="18"/>
      <color theme="1"/>
      <name val="Tw Cen MT"/>
      <family val="2"/>
    </font>
    <font>
      <sz val="18"/>
      <color theme="1"/>
      <name val="Tw Cen MT"/>
      <family val="2"/>
    </font>
    <font>
      <sz val="10"/>
      <name val="Stylus BT"/>
      <family val="2"/>
    </font>
    <font>
      <b/>
      <sz val="12"/>
      <name val="Calibri"/>
      <family val="2"/>
      <scheme val="minor"/>
    </font>
    <font>
      <sz val="11"/>
      <name val="Calibri"/>
      <family val="2"/>
      <scheme val="minor"/>
    </font>
    <font>
      <b/>
      <sz val="18"/>
      <color theme="1"/>
      <name val="Cambria"/>
      <family val="1"/>
      <scheme val="major"/>
    </font>
    <font>
      <sz val="18"/>
      <color theme="1"/>
      <name val="Cambria"/>
      <family val="1"/>
      <scheme val="major"/>
    </font>
    <font>
      <sz val="18"/>
      <color indexed="8"/>
      <name val="Cambria"/>
      <family val="1"/>
      <scheme val="major"/>
    </font>
    <font>
      <b/>
      <sz val="18"/>
      <color indexed="8"/>
      <name val="Cambria"/>
      <family val="1"/>
      <scheme val="major"/>
    </font>
    <font>
      <b/>
      <sz val="11"/>
      <name val="Calibri"/>
      <family val="2"/>
      <scheme val="minor"/>
    </font>
    <font>
      <vertAlign val="superscript"/>
      <sz val="11"/>
      <name val="Calibri"/>
      <family val="2"/>
      <scheme val="minor"/>
    </font>
    <font>
      <sz val="11"/>
      <name val="Calibri"/>
      <family val="2"/>
    </font>
    <font>
      <sz val="8"/>
      <name val="Calibri"/>
      <family val="2"/>
      <scheme val="minor"/>
    </font>
    <font>
      <sz val="11"/>
      <color rgb="FFFF0000"/>
      <name val="Calibri"/>
      <family val="2"/>
      <scheme val="minor"/>
    </font>
    <font>
      <sz val="11"/>
      <color rgb="FF000000"/>
      <name val="Calibri"/>
      <family val="2"/>
    </font>
    <font>
      <sz val="11"/>
      <color theme="1"/>
      <name val="Calibri"/>
      <family val="2"/>
      <charset val="1"/>
      <scheme val="minor"/>
    </font>
    <font>
      <b/>
      <sz val="20"/>
      <name val="Garamond"/>
      <family val="1"/>
    </font>
    <font>
      <b/>
      <sz val="12"/>
      <name val="Garamond"/>
      <family val="1"/>
    </font>
    <font>
      <sz val="10"/>
      <name val="Garamond"/>
      <family val="1"/>
    </font>
    <font>
      <sz val="12"/>
      <name val="Garamond"/>
      <family val="1"/>
    </font>
    <font>
      <sz val="11"/>
      <name val="Garamond"/>
      <family val="1"/>
    </font>
    <font>
      <sz val="20"/>
      <name val="Garamond"/>
      <family val="1"/>
    </font>
    <font>
      <b/>
      <sz val="12"/>
      <color theme="1"/>
      <name val="Garamond"/>
      <family val="1"/>
    </font>
    <font>
      <b/>
      <sz val="11"/>
      <name val="Garamond"/>
      <family val="1"/>
    </font>
    <font>
      <b/>
      <sz val="14"/>
      <name val="Garamond"/>
      <family val="1"/>
    </font>
    <font>
      <sz val="10"/>
      <color rgb="FF000000"/>
      <name val="Times New Roman"/>
      <family val="1"/>
    </font>
    <font>
      <sz val="12"/>
      <color rgb="FF000000"/>
      <name val="Garamond"/>
      <family val="1"/>
    </font>
    <font>
      <sz val="12"/>
      <color rgb="FFFF0000"/>
      <name val="Garamond"/>
      <family val="1"/>
    </font>
    <font>
      <sz val="11"/>
      <color theme="1"/>
      <name val="Calibri"/>
      <family val="2"/>
    </font>
    <font>
      <b/>
      <sz val="9"/>
      <color rgb="FF000000"/>
      <name val="Palatino Linotype"/>
      <family val="1"/>
    </font>
    <font>
      <sz val="11"/>
      <color rgb="FF000000"/>
      <name val="Palatino Linotype"/>
      <family val="1"/>
    </font>
    <font>
      <sz val="11"/>
      <color rgb="FF000000"/>
      <name val="Libre Baskerville"/>
    </font>
    <font>
      <sz val="14"/>
      <color rgb="FF000000"/>
      <name val="Libre Baskerville"/>
    </font>
    <font>
      <sz val="11"/>
      <color rgb="FF000000"/>
      <name val="Arial"/>
      <family val="2"/>
    </font>
    <font>
      <b/>
      <sz val="11"/>
      <color theme="1"/>
      <name val="Calibri"/>
      <family val="2"/>
    </font>
    <font>
      <sz val="11"/>
      <color theme="1"/>
      <name val="Libre Baskerville"/>
    </font>
    <font>
      <sz val="11"/>
      <color rgb="FFFF0000"/>
      <name val="Libre Baskerville"/>
    </font>
    <font>
      <b/>
      <sz val="10"/>
      <color rgb="FF000000"/>
      <name val="Palatino Linotype"/>
      <family val="1"/>
    </font>
    <font>
      <sz val="10"/>
      <color rgb="FF000000"/>
      <name val="Palatino Linotype"/>
      <family val="1"/>
    </font>
    <font>
      <sz val="11"/>
      <color rgb="FF0070C0"/>
      <name val="Calibri"/>
      <family val="2"/>
      <scheme val="minor"/>
    </font>
    <font>
      <u/>
      <sz val="11"/>
      <color rgb="FF000000"/>
      <name val="Calibri"/>
      <family val="2"/>
    </font>
    <font>
      <u/>
      <sz val="11"/>
      <color theme="1"/>
      <name val="Calibri"/>
      <family val="2"/>
    </font>
    <font>
      <sz val="10"/>
      <color theme="1"/>
      <name val="Calibri"/>
      <family val="2"/>
    </font>
    <font>
      <vertAlign val="superscript"/>
      <sz val="11"/>
      <color theme="1"/>
      <name val="Calibri"/>
      <family val="2"/>
    </font>
    <font>
      <sz val="11"/>
      <color rgb="FFFF0000"/>
      <name val="Calibri"/>
      <family val="2"/>
    </font>
    <font>
      <b/>
      <sz val="10"/>
      <color theme="1"/>
      <name val="Calibri"/>
      <family val="2"/>
    </font>
    <font>
      <sz val="12"/>
      <color theme="1"/>
      <name val="Calibri"/>
      <family val="2"/>
    </font>
    <font>
      <b/>
      <sz val="12"/>
      <color theme="1"/>
      <name val="Calibri"/>
      <family val="2"/>
    </font>
    <font>
      <u/>
      <sz val="12"/>
      <color rgb="FF000000"/>
      <name val="Calibri"/>
      <family val="2"/>
    </font>
    <font>
      <sz val="12"/>
      <color rgb="FF000000"/>
      <name val="Calibri"/>
      <family val="2"/>
    </font>
    <font>
      <b/>
      <sz val="11"/>
      <color theme="1"/>
      <name val="Garamond"/>
      <family val="1"/>
    </font>
    <font>
      <sz val="11"/>
      <color theme="1"/>
      <name val="Garamond"/>
      <family val="1"/>
    </font>
    <font>
      <b/>
      <i/>
      <sz val="11"/>
      <color theme="1"/>
      <name val="Calibri"/>
      <family val="2"/>
    </font>
    <font>
      <i/>
      <sz val="11"/>
      <color theme="1"/>
      <name val="Calibri"/>
      <family val="2"/>
    </font>
    <font>
      <i/>
      <sz val="11"/>
      <name val="Calibri"/>
      <family val="2"/>
    </font>
    <font>
      <sz val="11"/>
      <color rgb="FFFF0000"/>
      <name val="Calibri (Body)"/>
    </font>
    <font>
      <b/>
      <i/>
      <sz val="11"/>
      <name val="Calibri"/>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s>
  <borders count="78">
    <border>
      <left/>
      <right/>
      <top/>
      <bottom/>
      <diagonal/>
    </border>
    <border>
      <left style="medium">
        <color indexed="64"/>
      </left>
      <right/>
      <top/>
      <bottom style="hair">
        <color indexed="64"/>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medium">
        <color auto="1"/>
      </right>
      <top/>
      <bottom style="hair">
        <color indexed="64"/>
      </bottom>
      <diagonal/>
    </border>
    <border>
      <left style="medium">
        <color auto="1"/>
      </left>
      <right style="medium">
        <color auto="1"/>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auto="1"/>
      </left>
      <right style="medium">
        <color auto="1"/>
      </right>
      <top style="hair">
        <color auto="1"/>
      </top>
      <bottom/>
      <diagonal/>
    </border>
    <border>
      <left style="medium">
        <color indexed="64"/>
      </left>
      <right/>
      <top style="hair">
        <color indexed="64"/>
      </top>
      <bottom/>
      <diagonal/>
    </border>
    <border>
      <left style="medium">
        <color indexed="64"/>
      </left>
      <right style="medium">
        <color auto="1"/>
      </right>
      <top style="medium">
        <color indexed="64"/>
      </top>
      <bottom style="hair">
        <color indexed="64"/>
      </bottom>
      <diagonal/>
    </border>
    <border>
      <left style="thick">
        <color auto="1"/>
      </left>
      <right/>
      <top style="thick">
        <color auto="1"/>
      </top>
      <bottom/>
      <diagonal/>
    </border>
    <border>
      <left/>
      <right/>
      <top style="thick">
        <color indexed="64"/>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medium">
        <color indexed="64"/>
      </left>
      <right style="medium">
        <color indexed="64"/>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auto="1"/>
      </right>
      <top style="medium">
        <color indexed="64"/>
      </top>
      <bottom style="hair">
        <color indexed="64"/>
      </bottom>
      <diagonal/>
    </border>
    <border>
      <left/>
      <right style="medium">
        <color auto="1"/>
      </right>
      <top style="hair">
        <color indexed="64"/>
      </top>
      <bottom style="hair">
        <color indexed="64"/>
      </bottom>
      <diagonal/>
    </border>
    <border>
      <left/>
      <right style="thin">
        <color rgb="FF000000"/>
      </right>
      <top style="hair">
        <color rgb="FF000000"/>
      </top>
      <bottom style="hair">
        <color rgb="FF000000"/>
      </bottom>
      <diagonal/>
    </border>
    <border>
      <left style="medium">
        <color rgb="FF000000"/>
      </left>
      <right/>
      <top style="hair">
        <color rgb="FF000000"/>
      </top>
      <bottom style="hair">
        <color rgb="FF000000"/>
      </bottom>
      <diagonal/>
    </border>
    <border>
      <left style="double">
        <color auto="1"/>
      </left>
      <right style="thin">
        <color auto="1"/>
      </right>
      <top style="hair">
        <color auto="1"/>
      </top>
      <bottom style="hair">
        <color auto="1"/>
      </bottom>
      <diagonal/>
    </border>
    <border>
      <left style="thin">
        <color rgb="FF000000"/>
      </left>
      <right style="thin">
        <color rgb="FF000000"/>
      </right>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hair">
        <color rgb="FF000000"/>
      </top>
      <bottom style="hair">
        <color rgb="FF000000"/>
      </bottom>
      <diagonal/>
    </border>
    <border>
      <left style="thin">
        <color rgb="FF000000"/>
      </left>
      <right/>
      <top/>
      <bottom/>
      <diagonal/>
    </border>
    <border>
      <left/>
      <right style="thin">
        <color rgb="FF000000"/>
      </right>
      <top/>
      <bottom/>
      <diagonal/>
    </border>
  </borders>
  <cellStyleXfs count="63">
    <xf numFmtId="0" fontId="0" fillId="0" borderId="0"/>
    <xf numFmtId="164"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5" fillId="0" borderId="0"/>
    <xf numFmtId="0" fontId="1" fillId="0" borderId="0"/>
    <xf numFmtId="0" fontId="17" fillId="0" borderId="0"/>
    <xf numFmtId="0" fontId="1" fillId="0" borderId="0"/>
    <xf numFmtId="168" fontId="17"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8" fillId="0" borderId="0"/>
    <xf numFmtId="164" fontId="2" fillId="0" borderId="0" applyFont="0" applyFill="0" applyBorder="0" applyAlignment="0" applyProtection="0"/>
    <xf numFmtId="0" fontId="28" fillId="0" borderId="0"/>
  </cellStyleXfs>
  <cellXfs count="280">
    <xf numFmtId="0" fontId="0" fillId="0" borderId="0" xfId="0"/>
    <xf numFmtId="0" fontId="4" fillId="0" borderId="0" xfId="8" applyFont="1"/>
    <xf numFmtId="0" fontId="10" fillId="0" borderId="8" xfId="8" applyFont="1" applyBorder="1"/>
    <xf numFmtId="0" fontId="8" fillId="0" borderId="9" xfId="8" applyFont="1" applyBorder="1" applyAlignment="1">
      <alignment horizontal="center"/>
    </xf>
    <xf numFmtId="164" fontId="9" fillId="0" borderId="14" xfId="1" applyFont="1" applyBorder="1" applyAlignment="1"/>
    <xf numFmtId="0" fontId="10" fillId="0" borderId="10" xfId="8" applyFont="1" applyBorder="1"/>
    <xf numFmtId="0" fontId="8" fillId="0" borderId="11" xfId="8" applyFont="1" applyBorder="1" applyAlignment="1">
      <alignment horizontal="center"/>
    </xf>
    <xf numFmtId="164" fontId="9" fillId="0" borderId="15" xfId="1" applyFont="1" applyBorder="1" applyAlignment="1"/>
    <xf numFmtId="0" fontId="10" fillId="0" borderId="12" xfId="8" applyFont="1" applyBorder="1"/>
    <xf numFmtId="0" fontId="8" fillId="0" borderId="0" xfId="8" applyFont="1" applyAlignment="1">
      <alignment horizontal="right"/>
    </xf>
    <xf numFmtId="0" fontId="8" fillId="0" borderId="16" xfId="8" applyFont="1" applyBorder="1" applyAlignment="1">
      <alignment horizontal="center"/>
    </xf>
    <xf numFmtId="164" fontId="8" fillId="0" borderId="17" xfId="1" applyFont="1" applyFill="1" applyBorder="1" applyAlignment="1"/>
    <xf numFmtId="0" fontId="7" fillId="0" borderId="0" xfId="0" applyFont="1"/>
    <xf numFmtId="0" fontId="0" fillId="2" borderId="0" xfId="0" applyFill="1"/>
    <xf numFmtId="0" fontId="3" fillId="0" borderId="0" xfId="8" applyFont="1" applyAlignment="1">
      <alignment horizontal="center"/>
    </xf>
    <xf numFmtId="0" fontId="12" fillId="3" borderId="4" xfId="0" applyFont="1" applyFill="1" applyBorder="1" applyAlignment="1">
      <alignment horizontal="center" vertical="center" wrapText="1"/>
    </xf>
    <xf numFmtId="0" fontId="12" fillId="0" borderId="7" xfId="0" applyFont="1" applyBorder="1" applyAlignment="1">
      <alignment horizontal="left" vertical="center"/>
    </xf>
    <xf numFmtId="0" fontId="12" fillId="0" borderId="0" xfId="0" applyFont="1" applyAlignment="1">
      <alignment horizontal="left"/>
    </xf>
    <xf numFmtId="0" fontId="7" fillId="0" borderId="7" xfId="0" applyFont="1" applyBorder="1" applyAlignment="1">
      <alignment horizontal="left" vertical="top" wrapText="1"/>
    </xf>
    <xf numFmtId="0" fontId="7" fillId="0" borderId="7" xfId="0" applyFont="1" applyBorder="1" applyAlignment="1">
      <alignment horizontal="left" vertical="top" wrapText="1" indent="2"/>
    </xf>
    <xf numFmtId="0" fontId="12" fillId="0" borderId="7" xfId="0" applyFont="1" applyBorder="1" applyAlignment="1">
      <alignment horizontal="left" vertical="center" wrapText="1"/>
    </xf>
    <xf numFmtId="164" fontId="4" fillId="0" borderId="0" xfId="8" applyNumberFormat="1" applyFont="1"/>
    <xf numFmtId="0" fontId="7" fillId="3" borderId="4" xfId="0" applyFont="1" applyFill="1" applyBorder="1" applyAlignment="1">
      <alignment horizontal="center" vertical="center" wrapText="1"/>
    </xf>
    <xf numFmtId="164" fontId="12" fillId="3" borderId="4" xfId="1" applyFont="1" applyFill="1" applyBorder="1" applyAlignment="1">
      <alignment horizontal="center" vertical="center" wrapText="1"/>
    </xf>
    <xf numFmtId="164" fontId="7" fillId="0" borderId="0" xfId="1" applyFont="1" applyBorder="1"/>
    <xf numFmtId="164" fontId="7" fillId="0" borderId="0" xfId="1" applyFont="1" applyFill="1" applyBorder="1"/>
    <xf numFmtId="0" fontId="7" fillId="2" borderId="0" xfId="0" applyFont="1" applyFill="1"/>
    <xf numFmtId="164" fontId="12" fillId="0" borderId="0" xfId="0" applyNumberFormat="1" applyFont="1" applyAlignment="1">
      <alignment horizontal="left"/>
    </xf>
    <xf numFmtId="164" fontId="4" fillId="0" borderId="0" xfId="1" applyFont="1"/>
    <xf numFmtId="0" fontId="12" fillId="0" borderId="7" xfId="0" applyFont="1" applyBorder="1" applyAlignment="1">
      <alignment horizontal="left" vertical="top" wrapText="1"/>
    </xf>
    <xf numFmtId="49" fontId="12" fillId="0" borderId="7" xfId="0" quotePrefix="1" applyNumberFormat="1" applyFont="1" applyBorder="1" applyAlignment="1">
      <alignment horizontal="center" vertical="top"/>
    </xf>
    <xf numFmtId="0" fontId="7" fillId="0" borderId="1" xfId="0" applyFont="1" applyBorder="1" applyAlignment="1">
      <alignment horizontal="left" vertical="top" wrapText="1"/>
    </xf>
    <xf numFmtId="0" fontId="7" fillId="0" borderId="7" xfId="0" applyFont="1" applyBorder="1" applyAlignment="1">
      <alignment vertical="top" wrapText="1"/>
    </xf>
    <xf numFmtId="0" fontId="7" fillId="0" borderId="0" xfId="8" applyFont="1"/>
    <xf numFmtId="164" fontId="7" fillId="0" borderId="0" xfId="10" applyFont="1" applyBorder="1" applyAlignment="1">
      <alignment horizontal="center"/>
    </xf>
    <xf numFmtId="0" fontId="1" fillId="0" borderId="0" xfId="60" applyFont="1"/>
    <xf numFmtId="0" fontId="7" fillId="0" borderId="3" xfId="0" applyFont="1" applyBorder="1" applyAlignment="1">
      <alignment vertical="top" wrapText="1"/>
    </xf>
    <xf numFmtId="49" fontId="12" fillId="0" borderId="7" xfId="0" quotePrefix="1" applyNumberFormat="1" applyFont="1" applyBorder="1" applyAlignment="1">
      <alignment horizontal="center" vertical="center"/>
    </xf>
    <xf numFmtId="0" fontId="20" fillId="0" borderId="0" xfId="33" applyFont="1"/>
    <xf numFmtId="0" fontId="21" fillId="4" borderId="24" xfId="7" applyFont="1" applyFill="1" applyBorder="1"/>
    <xf numFmtId="0" fontId="21" fillId="4" borderId="0" xfId="7" applyFont="1" applyFill="1"/>
    <xf numFmtId="0" fontId="21" fillId="4" borderId="25" xfId="7" applyFont="1" applyFill="1" applyBorder="1"/>
    <xf numFmtId="0" fontId="22" fillId="4" borderId="26" xfId="7" applyFont="1" applyFill="1" applyBorder="1"/>
    <xf numFmtId="0" fontId="22" fillId="4" borderId="27" xfId="7" applyFont="1" applyFill="1" applyBorder="1"/>
    <xf numFmtId="0" fontId="22" fillId="4" borderId="28" xfId="7" applyFont="1" applyFill="1" applyBorder="1"/>
    <xf numFmtId="0" fontId="23" fillId="4" borderId="21" xfId="7" applyFont="1" applyFill="1" applyBorder="1"/>
    <xf numFmtId="0" fontId="23" fillId="4" borderId="22" xfId="7" applyFont="1" applyFill="1" applyBorder="1"/>
    <xf numFmtId="0" fontId="23" fillId="4" borderId="23" xfId="7" applyFont="1" applyFill="1" applyBorder="1"/>
    <xf numFmtId="0" fontId="23" fillId="4" borderId="26" xfId="7" applyFont="1" applyFill="1" applyBorder="1"/>
    <xf numFmtId="0" fontId="23" fillId="4" borderId="27" xfId="7" applyFont="1" applyFill="1" applyBorder="1"/>
    <xf numFmtId="0" fontId="23" fillId="4" borderId="28" xfId="7" applyFont="1" applyFill="1" applyBorder="1"/>
    <xf numFmtId="0" fontId="23" fillId="4" borderId="21" xfId="7" applyFont="1" applyFill="1" applyBorder="1" applyAlignment="1">
      <alignment horizontal="center"/>
    </xf>
    <xf numFmtId="0" fontId="23" fillId="4" borderId="22" xfId="7" applyFont="1" applyFill="1" applyBorder="1" applyAlignment="1">
      <alignment horizontal="center"/>
    </xf>
    <xf numFmtId="0" fontId="23" fillId="4" borderId="23" xfId="7" applyFont="1" applyFill="1" applyBorder="1" applyAlignment="1">
      <alignment horizontal="center"/>
    </xf>
    <xf numFmtId="0" fontId="25" fillId="0" borderId="0" xfId="33" applyFont="1"/>
    <xf numFmtId="0" fontId="23" fillId="4" borderId="26" xfId="7" applyFont="1" applyFill="1" applyBorder="1" applyAlignment="1">
      <alignment horizontal="center"/>
    </xf>
    <xf numFmtId="0" fontId="23" fillId="4" borderId="27" xfId="7" applyFont="1" applyFill="1" applyBorder="1" applyAlignment="1">
      <alignment horizontal="center"/>
    </xf>
    <xf numFmtId="0" fontId="23" fillId="4" borderId="28" xfId="7" applyFont="1" applyFill="1" applyBorder="1" applyAlignment="1">
      <alignment horizontal="center"/>
    </xf>
    <xf numFmtId="0" fontId="26" fillId="0" borderId="0" xfId="33" applyFont="1"/>
    <xf numFmtId="0" fontId="22" fillId="4" borderId="21" xfId="7" applyFont="1" applyFill="1" applyBorder="1" applyAlignment="1">
      <alignment horizontal="left"/>
    </xf>
    <xf numFmtId="0" fontId="22" fillId="4" borderId="22" xfId="7" applyFont="1" applyFill="1" applyBorder="1" applyAlignment="1">
      <alignment horizontal="left"/>
    </xf>
    <xf numFmtId="0" fontId="22" fillId="4" borderId="23" xfId="7" applyFont="1" applyFill="1" applyBorder="1" applyAlignment="1">
      <alignment horizontal="left"/>
    </xf>
    <xf numFmtId="0" fontId="21" fillId="4" borderId="24" xfId="7" applyFont="1" applyFill="1" applyBorder="1" applyAlignment="1">
      <alignment horizontal="left"/>
    </xf>
    <xf numFmtId="0" fontId="21" fillId="4" borderId="0" xfId="7" applyFont="1" applyFill="1" applyAlignment="1">
      <alignment horizontal="left"/>
    </xf>
    <xf numFmtId="0" fontId="21" fillId="4" borderId="25" xfId="7" applyFont="1" applyFill="1" applyBorder="1" applyAlignment="1">
      <alignment horizontal="left"/>
    </xf>
    <xf numFmtId="0" fontId="26" fillId="0" borderId="0" xfId="33" applyFont="1" applyAlignment="1">
      <alignment wrapText="1"/>
    </xf>
    <xf numFmtId="0" fontId="22" fillId="0" borderId="0" xfId="62" applyFont="1" applyAlignment="1">
      <alignment vertical="top" wrapText="1"/>
    </xf>
    <xf numFmtId="0" fontId="29" fillId="0" borderId="0" xfId="62" applyFont="1" applyAlignment="1">
      <alignment vertical="top"/>
    </xf>
    <xf numFmtId="0" fontId="20" fillId="0" borderId="0" xfId="62" applyFont="1" applyAlignment="1">
      <alignment vertical="top" wrapText="1"/>
    </xf>
    <xf numFmtId="0" fontId="29" fillId="0" borderId="0" xfId="62" applyFont="1" applyAlignment="1">
      <alignment vertical="top" wrapText="1"/>
    </xf>
    <xf numFmtId="164" fontId="16" fillId="0" borderId="0" xfId="10" applyFont="1" applyBorder="1" applyAlignment="1">
      <alignment horizontal="center"/>
    </xf>
    <xf numFmtId="49" fontId="12" fillId="0" borderId="20" xfId="0" quotePrefix="1" applyNumberFormat="1" applyFont="1" applyBorder="1" applyAlignment="1">
      <alignment horizontal="center" vertical="top"/>
    </xf>
    <xf numFmtId="0" fontId="12" fillId="0" borderId="20" xfId="0" applyFont="1" applyBorder="1" applyAlignment="1">
      <alignment horizontal="left" vertical="center"/>
    </xf>
    <xf numFmtId="0" fontId="12" fillId="0" borderId="20" xfId="8" applyFont="1" applyBorder="1" applyAlignment="1">
      <alignment horizontal="center" vertical="top"/>
    </xf>
    <xf numFmtId="0" fontId="6" fillId="0" borderId="20" xfId="8" applyFont="1" applyBorder="1" applyAlignment="1">
      <alignment vertical="center" wrapText="1"/>
    </xf>
    <xf numFmtId="0" fontId="7" fillId="0" borderId="20" xfId="8" applyFont="1" applyBorder="1" applyAlignment="1">
      <alignment horizontal="center" vertical="center"/>
    </xf>
    <xf numFmtId="1" fontId="7" fillId="0" borderId="20" xfId="8" applyNumberFormat="1" applyFont="1" applyBorder="1" applyAlignment="1">
      <alignment horizontal="center" vertical="center"/>
    </xf>
    <xf numFmtId="164" fontId="7" fillId="0" borderId="20" xfId="55" applyFont="1" applyBorder="1" applyAlignment="1">
      <alignment horizontal="center" vertical="center"/>
    </xf>
    <xf numFmtId="164" fontId="7" fillId="0" borderId="7" xfId="10" applyFont="1" applyFill="1" applyBorder="1" applyAlignment="1">
      <alignment horizontal="center" vertical="center"/>
    </xf>
    <xf numFmtId="4" fontId="7" fillId="0" borderId="20" xfId="8" applyNumberFormat="1" applyFont="1" applyBorder="1" applyAlignment="1">
      <alignment horizontal="center" vertical="center"/>
    </xf>
    <xf numFmtId="167" fontId="7" fillId="0" borderId="7" xfId="10" applyNumberFormat="1" applyFont="1" applyFill="1" applyBorder="1" applyAlignment="1">
      <alignment horizontal="center" vertical="center"/>
    </xf>
    <xf numFmtId="0" fontId="42" fillId="0" borderId="6" xfId="8" applyFont="1" applyBorder="1" applyAlignment="1">
      <alignment horizontal="center" vertical="center"/>
    </xf>
    <xf numFmtId="1" fontId="42" fillId="0" borderId="6" xfId="8" applyNumberFormat="1" applyFont="1" applyBorder="1" applyAlignment="1">
      <alignment horizontal="center" vertical="center"/>
    </xf>
    <xf numFmtId="4" fontId="42" fillId="0" borderId="6" xfId="8" applyNumberFormat="1" applyFont="1" applyBorder="1" applyAlignment="1">
      <alignment horizontal="center" vertical="center"/>
    </xf>
    <xf numFmtId="0" fontId="42" fillId="0" borderId="0" xfId="0" applyFont="1"/>
    <xf numFmtId="4" fontId="31" fillId="5" borderId="62" xfId="0" applyNumberFormat="1" applyFont="1" applyFill="1" applyBorder="1" applyAlignment="1">
      <alignment horizontal="center" vertical="center"/>
    </xf>
    <xf numFmtId="164" fontId="31" fillId="0" borderId="60" xfId="0" applyNumberFormat="1" applyFont="1" applyBorder="1" applyAlignment="1">
      <alignment horizontal="center" vertical="center"/>
    </xf>
    <xf numFmtId="164" fontId="31" fillId="0" borderId="61" xfId="0" applyNumberFormat="1" applyFont="1" applyBorder="1" applyAlignment="1">
      <alignment horizontal="center" vertical="center"/>
    </xf>
    <xf numFmtId="0" fontId="45" fillId="0" borderId="0" xfId="50" applyFont="1" applyAlignment="1">
      <alignment vertical="center"/>
    </xf>
    <xf numFmtId="164" fontId="31" fillId="0" borderId="0" xfId="50" applyNumberFormat="1" applyFont="1" applyAlignment="1">
      <alignment vertical="center"/>
    </xf>
    <xf numFmtId="0" fontId="1" fillId="0" borderId="0" xfId="50"/>
    <xf numFmtId="0" fontId="31" fillId="0" borderId="0" xfId="50" applyFont="1"/>
    <xf numFmtId="164" fontId="31" fillId="0" borderId="0" xfId="50" applyNumberFormat="1" applyFont="1" applyAlignment="1">
      <alignment horizontal="center"/>
    </xf>
    <xf numFmtId="0" fontId="45" fillId="0" borderId="0" xfId="0" applyFont="1" applyAlignment="1">
      <alignment vertical="center"/>
    </xf>
    <xf numFmtId="164" fontId="31" fillId="0" borderId="0" xfId="0" applyNumberFormat="1" applyFont="1" applyAlignment="1">
      <alignment vertical="center"/>
    </xf>
    <xf numFmtId="0" fontId="49" fillId="0" borderId="0" xfId="0" applyFont="1"/>
    <xf numFmtId="0" fontId="6" fillId="0" borderId="64" xfId="8" applyFont="1" applyBorder="1" applyAlignment="1">
      <alignment vertical="center" wrapText="1"/>
    </xf>
    <xf numFmtId="0" fontId="7" fillId="0" borderId="65" xfId="8" applyFont="1" applyBorder="1" applyAlignment="1">
      <alignment horizontal="left" vertical="top" wrapText="1"/>
    </xf>
    <xf numFmtId="0" fontId="50" fillId="5" borderId="66" xfId="0" applyFont="1" applyFill="1" applyBorder="1" applyAlignment="1">
      <alignment vertical="center" wrapText="1"/>
    </xf>
    <xf numFmtId="0" fontId="12" fillId="0" borderId="4" xfId="0" applyFont="1" applyBorder="1" applyAlignment="1">
      <alignment horizontal="right" vertical="center"/>
    </xf>
    <xf numFmtId="0" fontId="31" fillId="0" borderId="0" xfId="0" applyFont="1"/>
    <xf numFmtId="0" fontId="37" fillId="0" borderId="0" xfId="0" applyFont="1"/>
    <xf numFmtId="0" fontId="12" fillId="0" borderId="7" xfId="0" applyFont="1" applyBorder="1" applyAlignment="1">
      <alignment horizontal="left" vertical="top"/>
    </xf>
    <xf numFmtId="0" fontId="31" fillId="0" borderId="63" xfId="0" applyFont="1" applyBorder="1" applyAlignment="1">
      <alignment vertical="top" wrapText="1"/>
    </xf>
    <xf numFmtId="0" fontId="53" fillId="0" borderId="68" xfId="0" applyFont="1" applyBorder="1" applyAlignment="1">
      <alignment horizontal="center" vertical="center"/>
    </xf>
    <xf numFmtId="0" fontId="54" fillId="0" borderId="0" xfId="0" applyFont="1"/>
    <xf numFmtId="49" fontId="12" fillId="3" borderId="4" xfId="0" applyNumberFormat="1" applyFont="1" applyFill="1" applyBorder="1" applyAlignment="1">
      <alignment horizontal="center" vertical="top" wrapText="1"/>
    </xf>
    <xf numFmtId="49" fontId="7" fillId="0" borderId="7" xfId="0" applyNumberFormat="1" applyFont="1" applyBorder="1" applyAlignment="1">
      <alignment horizontal="center" vertical="top"/>
    </xf>
    <xf numFmtId="49" fontId="7" fillId="0" borderId="7" xfId="0" applyNumberFormat="1" applyFont="1" applyBorder="1" applyAlignment="1">
      <alignment horizontal="center" vertical="top" wrapText="1"/>
    </xf>
    <xf numFmtId="0" fontId="7" fillId="0" borderId="18" xfId="0" applyFont="1" applyBorder="1" applyAlignment="1">
      <alignment horizontal="center" vertical="center"/>
    </xf>
    <xf numFmtId="49" fontId="12" fillId="0" borderId="18" xfId="0" quotePrefix="1" applyNumberFormat="1" applyFont="1" applyBorder="1" applyAlignment="1">
      <alignment horizontal="center" vertical="top"/>
    </xf>
    <xf numFmtId="49" fontId="7" fillId="0" borderId="18" xfId="0" quotePrefix="1" applyNumberFormat="1" applyFont="1" applyBorder="1" applyAlignment="1">
      <alignment horizontal="center" vertical="top"/>
    </xf>
    <xf numFmtId="49" fontId="31" fillId="0" borderId="63" xfId="0" applyNumberFormat="1" applyFont="1" applyBorder="1" applyAlignment="1">
      <alignment horizontal="center" vertical="top" wrapText="1"/>
    </xf>
    <xf numFmtId="0" fontId="48" fillId="5" borderId="60" xfId="0" applyFont="1" applyFill="1" applyBorder="1" applyAlignment="1">
      <alignment horizontal="center" vertical="center"/>
    </xf>
    <xf numFmtId="0" fontId="12" fillId="0" borderId="7" xfId="29" applyFont="1" applyBorder="1" applyAlignment="1">
      <alignment horizontal="center" vertical="top"/>
    </xf>
    <xf numFmtId="0" fontId="7" fillId="0" borderId="2" xfId="0" applyFont="1" applyBorder="1" applyAlignment="1">
      <alignment horizontal="center" vertical="center"/>
    </xf>
    <xf numFmtId="0" fontId="12" fillId="0" borderId="20" xfId="0" applyFont="1" applyBorder="1" applyAlignment="1">
      <alignment horizontal="left" vertical="top"/>
    </xf>
    <xf numFmtId="165" fontId="7" fillId="0" borderId="7" xfId="0" applyNumberFormat="1" applyFont="1" applyBorder="1" applyAlignment="1">
      <alignment horizontal="left" vertical="top" wrapText="1"/>
    </xf>
    <xf numFmtId="0" fontId="37" fillId="0" borderId="34" xfId="0" applyFont="1" applyBorder="1"/>
    <xf numFmtId="0" fontId="31" fillId="0" borderId="34" xfId="0" applyFont="1" applyBorder="1"/>
    <xf numFmtId="0" fontId="31" fillId="0" borderId="69" xfId="0" applyFont="1" applyBorder="1"/>
    <xf numFmtId="0" fontId="37" fillId="0" borderId="70" xfId="0" applyFont="1" applyBorder="1"/>
    <xf numFmtId="0" fontId="55" fillId="0" borderId="34" xfId="0" applyFont="1" applyBorder="1" applyAlignment="1">
      <alignment horizontal="center"/>
    </xf>
    <xf numFmtId="0" fontId="55" fillId="0" borderId="34" xfId="0" applyFont="1" applyBorder="1"/>
    <xf numFmtId="0" fontId="56" fillId="0" borderId="34" xfId="0" applyFont="1" applyBorder="1"/>
    <xf numFmtId="0" fontId="31" fillId="0" borderId="34" xfId="0" applyFont="1" applyBorder="1" applyAlignment="1">
      <alignment horizontal="center" vertical="center"/>
    </xf>
    <xf numFmtId="0" fontId="37" fillId="0" borderId="58" xfId="0" applyFont="1" applyBorder="1"/>
    <xf numFmtId="0" fontId="37" fillId="0" borderId="34" xfId="0" applyFont="1" applyBorder="1" applyAlignment="1">
      <alignment horizontal="left"/>
    </xf>
    <xf numFmtId="0" fontId="31" fillId="0" borderId="34" xfId="0" applyFont="1" applyBorder="1" applyAlignment="1">
      <alignment horizontal="center"/>
    </xf>
    <xf numFmtId="0" fontId="31" fillId="0" borderId="34" xfId="0" applyFont="1" applyBorder="1" applyAlignment="1">
      <alignment horizontal="left"/>
    </xf>
    <xf numFmtId="0" fontId="37" fillId="0" borderId="32" xfId="0" applyFont="1" applyBorder="1"/>
    <xf numFmtId="0" fontId="37" fillId="0" borderId="69" xfId="0" applyFont="1" applyBorder="1"/>
    <xf numFmtId="164" fontId="32" fillId="0" borderId="31" xfId="0" applyNumberFormat="1" applyFont="1" applyBorder="1" applyAlignment="1">
      <alignment horizontal="center"/>
    </xf>
    <xf numFmtId="164" fontId="32" fillId="0" borderId="32" xfId="0" applyNumberFormat="1" applyFont="1" applyBorder="1"/>
    <xf numFmtId="164" fontId="32" fillId="0" borderId="32" xfId="0" applyNumberFormat="1" applyFont="1" applyBorder="1" applyAlignment="1">
      <alignment horizontal="center"/>
    </xf>
    <xf numFmtId="164" fontId="32" fillId="0" borderId="32" xfId="0" applyNumberFormat="1" applyFont="1" applyBorder="1" applyAlignment="1">
      <alignment horizontal="center" wrapText="1"/>
    </xf>
    <xf numFmtId="164" fontId="32" fillId="0" borderId="32" xfId="0" applyNumberFormat="1" applyFont="1" applyBorder="1" applyAlignment="1">
      <alignment horizontal="center" vertical="center"/>
    </xf>
    <xf numFmtId="164" fontId="32" fillId="0" borderId="33" xfId="0" applyNumberFormat="1" applyFont="1" applyBorder="1" applyAlignment="1">
      <alignment horizontal="center" vertical="center"/>
    </xf>
    <xf numFmtId="164" fontId="33" fillId="0" borderId="0" xfId="0" applyNumberFormat="1" applyFont="1"/>
    <xf numFmtId="167" fontId="34" fillId="0" borderId="35" xfId="0" applyNumberFormat="1" applyFont="1" applyBorder="1" applyAlignment="1">
      <alignment horizontal="center" vertical="center"/>
    </xf>
    <xf numFmtId="164" fontId="35" fillId="0" borderId="36" xfId="0" applyNumberFormat="1" applyFont="1" applyBorder="1"/>
    <xf numFmtId="164" fontId="34" fillId="0" borderId="36" xfId="0" applyNumberFormat="1" applyFont="1" applyBorder="1"/>
    <xf numFmtId="164" fontId="34" fillId="0" borderId="36" xfId="0" applyNumberFormat="1" applyFont="1" applyBorder="1" applyAlignment="1">
      <alignment horizontal="center"/>
    </xf>
    <xf numFmtId="164" fontId="34" fillId="0" borderId="36" xfId="0" applyNumberFormat="1" applyFont="1" applyBorder="1" applyAlignment="1">
      <alignment horizontal="center" vertical="center"/>
    </xf>
    <xf numFmtId="164" fontId="34" fillId="0" borderId="36" xfId="0" applyNumberFormat="1" applyFont="1" applyBorder="1" applyAlignment="1">
      <alignment horizontal="center" vertical="center" wrapText="1"/>
    </xf>
    <xf numFmtId="164" fontId="34" fillId="0" borderId="37" xfId="0" applyNumberFormat="1" applyFont="1" applyBorder="1" applyAlignment="1">
      <alignment horizontal="center" vertical="center"/>
    </xf>
    <xf numFmtId="164" fontId="36" fillId="0" borderId="0" xfId="0" applyNumberFormat="1" applyFont="1"/>
    <xf numFmtId="164" fontId="17" fillId="0" borderId="36" xfId="0" applyNumberFormat="1" applyFont="1" applyBorder="1"/>
    <xf numFmtId="164" fontId="37" fillId="0" borderId="41" xfId="0" applyNumberFormat="1" applyFont="1" applyBorder="1"/>
    <xf numFmtId="0" fontId="31" fillId="0" borderId="36" xfId="0" applyFont="1" applyBorder="1" applyAlignment="1">
      <alignment horizontal="center"/>
    </xf>
    <xf numFmtId="0" fontId="31" fillId="0" borderId="36" xfId="0" applyFont="1" applyBorder="1"/>
    <xf numFmtId="2" fontId="31" fillId="0" borderId="36" xfId="0" applyNumberFormat="1" applyFont="1" applyBorder="1"/>
    <xf numFmtId="0" fontId="31" fillId="0" borderId="42" xfId="0" applyFont="1" applyBorder="1"/>
    <xf numFmtId="164" fontId="38" fillId="0" borderId="40" xfId="0" applyNumberFormat="1" applyFont="1" applyBorder="1" applyAlignment="1">
      <alignment horizontal="center" vertical="center" wrapText="1"/>
    </xf>
    <xf numFmtId="164" fontId="38" fillId="0" borderId="36" xfId="0" applyNumberFormat="1" applyFont="1" applyBorder="1" applyAlignment="1">
      <alignment horizontal="center" vertical="center"/>
    </xf>
    <xf numFmtId="164" fontId="39" fillId="0" borderId="36" xfId="0" applyNumberFormat="1" applyFont="1" applyBorder="1" applyAlignment="1">
      <alignment horizontal="center" vertical="center"/>
    </xf>
    <xf numFmtId="164" fontId="36" fillId="0" borderId="43" xfId="0" applyNumberFormat="1" applyFont="1" applyBorder="1"/>
    <xf numFmtId="164" fontId="34" fillId="0" borderId="44" xfId="0" applyNumberFormat="1" applyFont="1" applyBorder="1"/>
    <xf numFmtId="164" fontId="34" fillId="0" borderId="45" xfId="0" applyNumberFormat="1" applyFont="1" applyBorder="1"/>
    <xf numFmtId="164" fontId="41" fillId="0" borderId="49" xfId="0" applyNumberFormat="1" applyFont="1" applyBorder="1" applyAlignment="1">
      <alignment horizontal="right" vertical="center" wrapText="1"/>
    </xf>
    <xf numFmtId="164" fontId="36" fillId="0" borderId="50" xfId="0" applyNumberFormat="1" applyFont="1" applyBorder="1"/>
    <xf numFmtId="164" fontId="34" fillId="0" borderId="0" xfId="0" applyNumberFormat="1" applyFont="1"/>
    <xf numFmtId="164" fontId="34" fillId="0" borderId="51" xfId="0" applyNumberFormat="1" applyFont="1" applyBorder="1"/>
    <xf numFmtId="169" fontId="41" fillId="0" borderId="36" xfId="0" applyNumberFormat="1" applyFont="1" applyBorder="1"/>
    <xf numFmtId="169" fontId="41" fillId="0" borderId="37" xfId="0" applyNumberFormat="1" applyFont="1" applyBorder="1"/>
    <xf numFmtId="164" fontId="17" fillId="0" borderId="0" xfId="0" applyNumberFormat="1" applyFont="1"/>
    <xf numFmtId="164" fontId="36" fillId="0" borderId="52" xfId="0" applyNumberFormat="1" applyFont="1" applyBorder="1"/>
    <xf numFmtId="164" fontId="34" fillId="0" borderId="53" xfId="0" applyNumberFormat="1" applyFont="1" applyBorder="1"/>
    <xf numFmtId="164" fontId="34" fillId="0" borderId="54" xfId="0" applyNumberFormat="1" applyFont="1" applyBorder="1"/>
    <xf numFmtId="164" fontId="40" fillId="0" borderId="58" xfId="0" applyNumberFormat="1" applyFont="1" applyBorder="1"/>
    <xf numFmtId="164" fontId="40" fillId="0" borderId="59" xfId="0" applyNumberFormat="1" applyFont="1" applyBorder="1"/>
    <xf numFmtId="0" fontId="7" fillId="0" borderId="0" xfId="0" applyFont="1" applyAlignment="1">
      <alignment wrapText="1"/>
    </xf>
    <xf numFmtId="164" fontId="7" fillId="0" borderId="0" xfId="0" applyNumberFormat="1" applyFont="1"/>
    <xf numFmtId="49" fontId="12" fillId="0" borderId="4" xfId="0" quotePrefix="1" applyNumberFormat="1" applyFont="1" applyBorder="1" applyAlignment="1">
      <alignment horizontal="right" vertical="top"/>
    </xf>
    <xf numFmtId="0" fontId="7" fillId="0" borderId="0" xfId="0" applyFont="1" applyAlignment="1">
      <alignment horizontal="left"/>
    </xf>
    <xf numFmtId="0" fontId="57" fillId="0" borderId="34" xfId="0" applyFont="1" applyBorder="1"/>
    <xf numFmtId="0" fontId="31" fillId="0" borderId="75" xfId="0" applyFont="1" applyBorder="1" applyAlignment="1">
      <alignment horizontal="left" vertical="top" wrapText="1"/>
    </xf>
    <xf numFmtId="0" fontId="58" fillId="0" borderId="34" xfId="0" applyFont="1" applyBorder="1"/>
    <xf numFmtId="0" fontId="58" fillId="0" borderId="0" xfId="0" applyFont="1"/>
    <xf numFmtId="0" fontId="31" fillId="0" borderId="71" xfId="0" applyFont="1" applyBorder="1"/>
    <xf numFmtId="0" fontId="14" fillId="0" borderId="34" xfId="0" applyFont="1" applyBorder="1"/>
    <xf numFmtId="0" fontId="59" fillId="0" borderId="34" xfId="0" applyFont="1" applyBorder="1"/>
    <xf numFmtId="0" fontId="31" fillId="0" borderId="0" xfId="50" applyFont="1" applyAlignment="1">
      <alignment vertical="center"/>
    </xf>
    <xf numFmtId="165" fontId="7" fillId="0" borderId="7" xfId="0" applyNumberFormat="1" applyFont="1" applyBorder="1" applyAlignment="1">
      <alignment horizontal="center" vertical="center"/>
    </xf>
    <xf numFmtId="164" fontId="12" fillId="0" borderId="7" xfId="1" applyFont="1" applyFill="1" applyBorder="1" applyAlignment="1" applyProtection="1">
      <alignment horizontal="center" vertical="center"/>
    </xf>
    <xf numFmtId="164" fontId="12" fillId="0" borderId="7" xfId="1" applyFont="1" applyFill="1" applyBorder="1" applyAlignment="1">
      <alignment horizontal="center" vertical="center"/>
    </xf>
    <xf numFmtId="164" fontId="7" fillId="0" borderId="7" xfId="1" applyFont="1" applyFill="1" applyBorder="1" applyAlignment="1" applyProtection="1">
      <alignment horizontal="center" vertical="center"/>
    </xf>
    <xf numFmtId="164" fontId="7" fillId="0" borderId="7" xfId="1" applyFont="1" applyFill="1" applyBorder="1" applyAlignment="1">
      <alignment horizontal="center" vertical="center"/>
    </xf>
    <xf numFmtId="165" fontId="7" fillId="0" borderId="7" xfId="0" applyNumberFormat="1" applyFont="1" applyBorder="1" applyAlignment="1">
      <alignment horizontal="center" vertical="center" wrapText="1"/>
    </xf>
    <xf numFmtId="164" fontId="7" fillId="0" borderId="7" xfId="1" applyFont="1" applyFill="1" applyBorder="1" applyAlignment="1" applyProtection="1">
      <alignment horizontal="center" vertical="center" wrapText="1"/>
    </xf>
    <xf numFmtId="164" fontId="7" fillId="0" borderId="7" xfId="1" applyFont="1" applyFill="1" applyBorder="1" applyAlignment="1">
      <alignment horizontal="center" vertical="center" wrapText="1"/>
    </xf>
    <xf numFmtId="165" fontId="7" fillId="0" borderId="4" xfId="0" applyNumberFormat="1" applyFont="1" applyBorder="1" applyAlignment="1">
      <alignment horizontal="center" vertical="center"/>
    </xf>
    <xf numFmtId="164" fontId="12" fillId="0" borderId="4" xfId="1" applyFont="1" applyFill="1" applyBorder="1" applyAlignment="1" applyProtection="1">
      <alignment horizontal="center" vertical="center"/>
    </xf>
    <xf numFmtId="164" fontId="12" fillId="0" borderId="4" xfId="1" applyFont="1" applyFill="1" applyBorder="1" applyAlignment="1">
      <alignment horizontal="center" vertical="center"/>
    </xf>
    <xf numFmtId="165" fontId="7" fillId="0" borderId="20" xfId="0" applyNumberFormat="1" applyFont="1" applyBorder="1" applyAlignment="1">
      <alignment horizontal="center" vertical="center"/>
    </xf>
    <xf numFmtId="164" fontId="12" fillId="0" borderId="20" xfId="1" applyFont="1" applyFill="1" applyBorder="1" applyAlignment="1" applyProtection="1">
      <alignment horizontal="center" vertical="center"/>
    </xf>
    <xf numFmtId="164" fontId="12" fillId="0" borderId="20" xfId="1" applyFont="1" applyFill="1" applyBorder="1" applyAlignment="1">
      <alignment horizontal="center" vertical="center"/>
    </xf>
    <xf numFmtId="0" fontId="7" fillId="0" borderId="7" xfId="0" applyFont="1" applyBorder="1" applyAlignment="1">
      <alignment horizontal="center" vertical="center" wrapText="1"/>
    </xf>
    <xf numFmtId="0" fontId="7" fillId="0" borderId="7" xfId="5" applyFont="1" applyBorder="1" applyAlignment="1">
      <alignment horizontal="center" vertical="center" wrapText="1"/>
    </xf>
    <xf numFmtId="164" fontId="7" fillId="0" borderId="3" xfId="1" applyFont="1" applyFill="1" applyBorder="1" applyAlignment="1">
      <alignment horizontal="center" vertical="center" wrapText="1"/>
    </xf>
    <xf numFmtId="165" fontId="7" fillId="0" borderId="6" xfId="0" applyNumberFormat="1" applyFont="1" applyBorder="1" applyAlignment="1">
      <alignment horizontal="center" vertical="center"/>
    </xf>
    <xf numFmtId="164" fontId="12" fillId="0" borderId="6" xfId="1" applyFont="1" applyFill="1" applyBorder="1" applyAlignment="1" applyProtection="1">
      <alignment horizontal="center" vertical="center"/>
    </xf>
    <xf numFmtId="164" fontId="12" fillId="0" borderId="19" xfId="1" applyFont="1" applyFill="1" applyBorder="1" applyAlignment="1" applyProtection="1">
      <alignment horizontal="center" vertical="center"/>
    </xf>
    <xf numFmtId="164" fontId="12" fillId="0" borderId="18" xfId="1" applyFont="1" applyFill="1" applyBorder="1" applyAlignment="1">
      <alignment horizontal="center" vertical="center"/>
    </xf>
    <xf numFmtId="164" fontId="7" fillId="0" borderId="6" xfId="1" applyFont="1" applyFill="1" applyBorder="1" applyAlignment="1" applyProtection="1">
      <alignment horizontal="center" vertical="center"/>
    </xf>
    <xf numFmtId="164" fontId="7" fillId="0" borderId="18" xfId="1" applyFont="1" applyFill="1" applyBorder="1" applyAlignment="1">
      <alignment horizontal="center" vertical="center"/>
    </xf>
    <xf numFmtId="0" fontId="7" fillId="0" borderId="7" xfId="0" applyFont="1" applyBorder="1" applyAlignment="1">
      <alignment horizontal="center" vertical="center"/>
    </xf>
    <xf numFmtId="0" fontId="31" fillId="0" borderId="63" xfId="0" applyFont="1" applyBorder="1" applyAlignment="1">
      <alignment horizontal="center" vertical="center"/>
    </xf>
    <xf numFmtId="164" fontId="31" fillId="0" borderId="63" xfId="0" applyNumberFormat="1" applyFont="1" applyBorder="1" applyAlignment="1">
      <alignment horizontal="center" vertical="center"/>
    </xf>
    <xf numFmtId="164" fontId="31" fillId="0" borderId="67" xfId="0" applyNumberFormat="1" applyFont="1" applyBorder="1" applyAlignment="1">
      <alignment horizontal="center" vertical="center" wrapText="1"/>
    </xf>
    <xf numFmtId="164" fontId="31" fillId="0" borderId="63" xfId="0" applyNumberFormat="1" applyFont="1" applyBorder="1" applyAlignment="1">
      <alignment horizontal="center" vertical="center" wrapText="1"/>
    </xf>
    <xf numFmtId="0" fontId="7" fillId="0" borderId="0" xfId="0" applyFont="1" applyAlignment="1">
      <alignment horizontal="center" vertical="center"/>
    </xf>
    <xf numFmtId="164" fontId="7" fillId="0" borderId="0" xfId="1" applyFont="1" applyFill="1" applyBorder="1" applyAlignment="1">
      <alignment horizontal="center" vertical="center"/>
    </xf>
    <xf numFmtId="0" fontId="12" fillId="0" borderId="18" xfId="0" applyFont="1" applyBorder="1" applyAlignment="1">
      <alignment horizontal="center" vertical="center"/>
    </xf>
    <xf numFmtId="164" fontId="7" fillId="0" borderId="7" xfId="1" applyFont="1" applyFill="1" applyBorder="1" applyAlignment="1">
      <alignment wrapText="1"/>
    </xf>
    <xf numFmtId="164" fontId="47" fillId="0" borderId="0" xfId="50" applyNumberFormat="1" applyFont="1" applyAlignment="1">
      <alignment horizontal="center"/>
    </xf>
    <xf numFmtId="4" fontId="31" fillId="0" borderId="62" xfId="0" applyNumberFormat="1" applyFont="1" applyBorder="1" applyAlignment="1">
      <alignment horizontal="center" vertical="center"/>
    </xf>
    <xf numFmtId="0" fontId="31" fillId="0" borderId="76" xfId="0" applyFont="1" applyBorder="1"/>
    <xf numFmtId="0" fontId="31" fillId="0" borderId="77" xfId="0" applyFont="1" applyBorder="1"/>
    <xf numFmtId="0" fontId="37" fillId="0" borderId="4" xfId="0" applyFont="1" applyBorder="1"/>
    <xf numFmtId="0" fontId="7" fillId="0" borderId="7" xfId="8" applyFont="1" applyBorder="1" applyAlignment="1">
      <alignment horizontal="center" vertical="center"/>
    </xf>
    <xf numFmtId="49" fontId="12" fillId="0" borderId="7" xfId="0" applyNumberFormat="1" applyFont="1" applyBorder="1" applyAlignment="1">
      <alignment horizontal="center" vertical="top"/>
    </xf>
    <xf numFmtId="0" fontId="7" fillId="0" borderId="7" xfId="29" applyFont="1" applyBorder="1" applyAlignment="1">
      <alignment horizontal="center" vertical="top"/>
    </xf>
    <xf numFmtId="164" fontId="7" fillId="0" borderId="20" xfId="55" applyFont="1" applyFill="1" applyBorder="1" applyAlignment="1">
      <alignment horizontal="center" vertical="center"/>
    </xf>
    <xf numFmtId="4" fontId="31" fillId="0" borderId="0" xfId="50" applyNumberFormat="1" applyFont="1" applyAlignment="1">
      <alignment horizontal="right"/>
    </xf>
    <xf numFmtId="164" fontId="31" fillId="0" borderId="0" xfId="0" applyNumberFormat="1" applyFont="1" applyAlignment="1">
      <alignment horizontal="center"/>
    </xf>
    <xf numFmtId="0" fontId="37" fillId="0" borderId="63" xfId="0" applyFont="1" applyBorder="1" applyAlignment="1">
      <alignment vertical="top" wrapText="1"/>
    </xf>
    <xf numFmtId="164" fontId="7" fillId="0" borderId="18" xfId="1" applyFont="1" applyFill="1" applyBorder="1" applyAlignment="1" applyProtection="1">
      <alignment horizontal="center" vertical="center"/>
    </xf>
    <xf numFmtId="43" fontId="12" fillId="0" borderId="4" xfId="1" applyNumberFormat="1" applyFont="1" applyFill="1" applyBorder="1" applyAlignment="1">
      <alignment horizontal="center" vertical="center"/>
    </xf>
    <xf numFmtId="0" fontId="23" fillId="4" borderId="21" xfId="7" applyFont="1" applyFill="1" applyBorder="1" applyAlignment="1">
      <alignment horizontal="center"/>
    </xf>
    <xf numFmtId="0" fontId="23" fillId="4" borderId="22" xfId="7" applyFont="1" applyFill="1" applyBorder="1" applyAlignment="1">
      <alignment horizontal="center"/>
    </xf>
    <xf numFmtId="0" fontId="23" fillId="4" borderId="24" xfId="7" applyFont="1" applyFill="1" applyBorder="1" applyAlignment="1">
      <alignment horizontal="center"/>
    </xf>
    <xf numFmtId="0" fontId="23" fillId="4" borderId="0" xfId="7" applyFont="1" applyFill="1" applyAlignment="1">
      <alignment horizontal="center"/>
    </xf>
    <xf numFmtId="0" fontId="23" fillId="4" borderId="26" xfId="7" applyFont="1" applyFill="1" applyBorder="1" applyAlignment="1">
      <alignment horizontal="center"/>
    </xf>
    <xf numFmtId="0" fontId="23" fillId="4" borderId="27" xfId="7" applyFont="1" applyFill="1" applyBorder="1" applyAlignment="1">
      <alignment horizontal="center"/>
    </xf>
    <xf numFmtId="0" fontId="27" fillId="4" borderId="24" xfId="7" applyFont="1" applyFill="1" applyBorder="1" applyAlignment="1">
      <alignment horizontal="right" vertical="center"/>
    </xf>
    <xf numFmtId="0" fontId="27" fillId="4" borderId="0" xfId="7" applyFont="1" applyFill="1" applyAlignment="1">
      <alignment horizontal="right" vertical="center"/>
    </xf>
    <xf numFmtId="0" fontId="27" fillId="4" borderId="25" xfId="7" applyFont="1" applyFill="1" applyBorder="1" applyAlignment="1">
      <alignment horizontal="right" vertical="center"/>
    </xf>
    <xf numFmtId="17" fontId="27" fillId="4" borderId="26" xfId="7" applyNumberFormat="1" applyFont="1" applyFill="1" applyBorder="1" applyAlignment="1">
      <alignment horizontal="right" vertical="center"/>
    </xf>
    <xf numFmtId="0" fontId="27" fillId="4" borderId="27" xfId="7" applyFont="1" applyFill="1" applyBorder="1" applyAlignment="1">
      <alignment horizontal="right" vertical="center"/>
    </xf>
    <xf numFmtId="0" fontId="27" fillId="4" borderId="28" xfId="7" applyFont="1" applyFill="1" applyBorder="1" applyAlignment="1">
      <alignment horizontal="right" vertical="center"/>
    </xf>
    <xf numFmtId="0" fontId="24" fillId="4" borderId="24" xfId="7" applyFont="1" applyFill="1" applyBorder="1" applyAlignment="1">
      <alignment horizontal="center"/>
    </xf>
    <xf numFmtId="0" fontId="24" fillId="4" borderId="0" xfId="7" applyFont="1" applyFill="1" applyAlignment="1">
      <alignment horizontal="center"/>
    </xf>
    <xf numFmtId="0" fontId="24" fillId="4" borderId="25" xfId="7" applyFont="1" applyFill="1" applyBorder="1" applyAlignment="1">
      <alignment horizontal="center"/>
    </xf>
    <xf numFmtId="0" fontId="19" fillId="4" borderId="21" xfId="7" applyFont="1" applyFill="1" applyBorder="1" applyAlignment="1" applyProtection="1">
      <alignment horizontal="center" wrapText="1"/>
      <protection locked="0"/>
    </xf>
    <xf numFmtId="0" fontId="19" fillId="4" borderId="22" xfId="7" applyFont="1" applyFill="1" applyBorder="1" applyAlignment="1" applyProtection="1">
      <alignment horizontal="center" wrapText="1"/>
      <protection locked="0"/>
    </xf>
    <xf numFmtId="0" fontId="19" fillId="4" borderId="23" xfId="7" applyFont="1" applyFill="1" applyBorder="1" applyAlignment="1" applyProtection="1">
      <alignment horizontal="center" wrapText="1"/>
      <protection locked="0"/>
    </xf>
    <xf numFmtId="0" fontId="19" fillId="4" borderId="24" xfId="7" applyFont="1" applyFill="1" applyBorder="1" applyAlignment="1" applyProtection="1">
      <alignment horizontal="center" wrapText="1"/>
      <protection locked="0"/>
    </xf>
    <xf numFmtId="0" fontId="19" fillId="4" borderId="0" xfId="7" applyFont="1" applyFill="1" applyAlignment="1" applyProtection="1">
      <alignment horizontal="center" wrapText="1"/>
      <protection locked="0"/>
    </xf>
    <xf numFmtId="0" fontId="19" fillId="4" borderId="25" xfId="7" applyFont="1" applyFill="1" applyBorder="1" applyAlignment="1" applyProtection="1">
      <alignment horizontal="center" wrapText="1"/>
      <protection locked="0"/>
    </xf>
    <xf numFmtId="0" fontId="21" fillId="4" borderId="24" xfId="7" applyFont="1" applyFill="1" applyBorder="1" applyAlignment="1">
      <alignment horizontal="left"/>
    </xf>
    <xf numFmtId="0" fontId="21" fillId="4" borderId="0" xfId="7" applyFont="1" applyFill="1" applyAlignment="1">
      <alignment horizontal="left"/>
    </xf>
    <xf numFmtId="0" fontId="21" fillId="4" borderId="25" xfId="7" applyFont="1" applyFill="1" applyBorder="1" applyAlignment="1">
      <alignment horizontal="left"/>
    </xf>
    <xf numFmtId="0" fontId="24" fillId="4" borderId="24" xfId="7" applyFont="1" applyFill="1" applyBorder="1" applyAlignment="1">
      <alignment horizontal="center" vertical="center" wrapText="1"/>
    </xf>
    <xf numFmtId="0" fontId="24" fillId="4" borderId="0" xfId="7" applyFont="1" applyFill="1" applyAlignment="1">
      <alignment horizontal="center" vertical="center" wrapText="1"/>
    </xf>
    <xf numFmtId="0" fontId="24" fillId="4" borderId="25" xfId="7" applyFont="1" applyFill="1" applyBorder="1" applyAlignment="1">
      <alignment horizontal="center" vertical="center" wrapText="1"/>
    </xf>
    <xf numFmtId="0" fontId="9" fillId="0" borderId="13" xfId="8" applyFont="1" applyBorder="1"/>
    <xf numFmtId="0" fontId="8" fillId="0" borderId="0" xfId="8" applyFont="1" applyAlignment="1">
      <alignment horizontal="center"/>
    </xf>
    <xf numFmtId="0" fontId="9" fillId="0" borderId="0" xfId="8" applyFont="1"/>
    <xf numFmtId="0" fontId="10" fillId="0" borderId="11" xfId="8" applyFont="1" applyBorder="1" applyAlignment="1">
      <alignment horizontal="center"/>
    </xf>
    <xf numFmtId="0" fontId="10" fillId="0" borderId="29" xfId="8" applyFont="1" applyBorder="1" applyAlignment="1">
      <alignment horizontal="center"/>
    </xf>
    <xf numFmtId="0" fontId="10" fillId="0" borderId="30" xfId="8" applyFont="1" applyBorder="1" applyAlignment="1">
      <alignment horizontal="center"/>
    </xf>
    <xf numFmtId="164" fontId="12" fillId="0" borderId="5" xfId="1" applyFont="1" applyBorder="1" applyAlignment="1">
      <alignment horizontal="center"/>
    </xf>
    <xf numFmtId="0" fontId="31" fillId="0" borderId="34" xfId="0" applyFont="1" applyBorder="1" applyAlignment="1">
      <alignment horizontal="center" vertical="center"/>
    </xf>
    <xf numFmtId="0" fontId="14" fillId="0" borderId="69" xfId="0" applyFont="1" applyBorder="1"/>
    <xf numFmtId="0" fontId="37" fillId="0" borderId="72" xfId="0" applyFont="1" applyBorder="1" applyAlignment="1">
      <alignment horizontal="center"/>
    </xf>
    <xf numFmtId="0" fontId="37" fillId="0" borderId="73" xfId="0" applyFont="1" applyBorder="1" applyAlignment="1">
      <alignment horizontal="center"/>
    </xf>
    <xf numFmtId="0" fontId="37" fillId="0" borderId="74" xfId="0" applyFont="1" applyBorder="1" applyAlignment="1">
      <alignment horizontal="center"/>
    </xf>
    <xf numFmtId="164" fontId="40" fillId="0" borderId="38" xfId="0" applyNumberFormat="1" applyFont="1" applyBorder="1" applyAlignment="1">
      <alignment horizontal="center"/>
    </xf>
    <xf numFmtId="0" fontId="14" fillId="0" borderId="39" xfId="0" applyFont="1" applyBorder="1"/>
    <xf numFmtId="0" fontId="14" fillId="0" borderId="40" xfId="0" applyFont="1" applyBorder="1"/>
    <xf numFmtId="164" fontId="40" fillId="0" borderId="55" xfId="0" applyNumberFormat="1" applyFont="1" applyBorder="1" applyAlignment="1">
      <alignment horizontal="center"/>
    </xf>
    <xf numFmtId="0" fontId="14" fillId="0" borderId="56" xfId="0" applyFont="1" applyBorder="1"/>
    <xf numFmtId="0" fontId="14" fillId="0" borderId="57" xfId="0" applyFont="1" applyBorder="1"/>
    <xf numFmtId="164" fontId="40" fillId="0" borderId="46" xfId="0" applyNumberFormat="1" applyFont="1" applyBorder="1" applyAlignment="1">
      <alignment horizontal="center"/>
    </xf>
    <xf numFmtId="0" fontId="14" fillId="0" borderId="47" xfId="0" applyFont="1" applyBorder="1"/>
    <xf numFmtId="0" fontId="14" fillId="0" borderId="48" xfId="0" applyFont="1" applyBorder="1"/>
    <xf numFmtId="164" fontId="7" fillId="0" borderId="18" xfId="1" applyFont="1" applyFill="1" applyBorder="1" applyAlignment="1" applyProtection="1">
      <alignment horizontal="center" vertical="center" wrapText="1"/>
    </xf>
    <xf numFmtId="164" fontId="7" fillId="0" borderId="6" xfId="1" applyFont="1" applyFill="1" applyBorder="1" applyAlignment="1" applyProtection="1">
      <alignment horizontal="center" vertical="center" wrapText="1"/>
    </xf>
    <xf numFmtId="164" fontId="7" fillId="0" borderId="4" xfId="1" applyFont="1" applyFill="1" applyBorder="1" applyAlignment="1" applyProtection="1">
      <alignment horizontal="center" vertical="center" wrapText="1"/>
    </xf>
  </cellXfs>
  <cellStyles count="63">
    <cellStyle name="Comma 10" xfId="10"/>
    <cellStyle name="Comma 11 2" xfId="55"/>
    <cellStyle name="Comma 12" xfId="11"/>
    <cellStyle name="Comma 18" xfId="57"/>
    <cellStyle name="Comma 2" xfId="12"/>
    <cellStyle name="Comma 2 10" xfId="13"/>
    <cellStyle name="Comma 2 11" xfId="14"/>
    <cellStyle name="Comma 2 12" xfId="53"/>
    <cellStyle name="Comma 2 2" xfId="15"/>
    <cellStyle name="Comma 2 2 2" xfId="61"/>
    <cellStyle name="Comma 2 3" xfId="16"/>
    <cellStyle name="Comma 2 4" xfId="17"/>
    <cellStyle name="Comma 2 5" xfId="18"/>
    <cellStyle name="Comma 2 6" xfId="19"/>
    <cellStyle name="Comma 2 7" xfId="20"/>
    <cellStyle name="Comma 2 8" xfId="21"/>
    <cellStyle name="Comma 2 9" xfId="22"/>
    <cellStyle name="Comma 20" xfId="56"/>
    <cellStyle name="Comma 24" xfId="58"/>
    <cellStyle name="Comma 25" xfId="59"/>
    <cellStyle name="Comma 3" xfId="2"/>
    <cellStyle name="Comma 3 2" xfId="23"/>
    <cellStyle name="Comma 4" xfId="24"/>
    <cellStyle name="Comma 4 2" xfId="25"/>
    <cellStyle name="Comma 5" xfId="26"/>
    <cellStyle name="Comma 6" xfId="27"/>
    <cellStyle name="Migliaia" xfId="1" builtinId="3"/>
    <cellStyle name="Normal 10" xfId="8"/>
    <cellStyle name="Normal 11" xfId="28"/>
    <cellStyle name="Normal 12" xfId="29"/>
    <cellStyle name="Normal 13" xfId="54"/>
    <cellStyle name="Normal 2" xfId="3"/>
    <cellStyle name="Normal 2 10" xfId="30"/>
    <cellStyle name="Normal 2 10 2" xfId="31"/>
    <cellStyle name="Normal 2 11" xfId="32"/>
    <cellStyle name="Normal 2 12" xfId="51"/>
    <cellStyle name="Normal 2 13" xfId="60"/>
    <cellStyle name="Normal 2 14" xfId="62"/>
    <cellStyle name="Normal 2 2" xfId="33"/>
    <cellStyle name="Normal 2 2 2 2 2" xfId="4"/>
    <cellStyle name="Normal 2 2 2 3" xfId="34"/>
    <cellStyle name="Normal 2 2 3 2" xfId="50"/>
    <cellStyle name="Normal 2 3" xfId="35"/>
    <cellStyle name="Normal 2 3 2" xfId="36"/>
    <cellStyle name="Normal 2 4" xfId="37"/>
    <cellStyle name="Normal 2 4 2" xfId="6"/>
    <cellStyle name="Normal 2 5" xfId="38"/>
    <cellStyle name="Normal 2 6" xfId="39"/>
    <cellStyle name="Normal 2 7" xfId="40"/>
    <cellStyle name="Normal 2 8" xfId="41"/>
    <cellStyle name="Normal 2 9" xfId="42"/>
    <cellStyle name="Normal 3" xfId="7"/>
    <cellStyle name="Normal 3 2" xfId="43"/>
    <cellStyle name="Normal 4" xfId="44"/>
    <cellStyle name="Normal 4 2" xfId="9"/>
    <cellStyle name="Normal 5" xfId="45"/>
    <cellStyle name="Normal 6" xfId="46"/>
    <cellStyle name="Normal 6 2" xfId="52"/>
    <cellStyle name="Normal 7" xfId="47"/>
    <cellStyle name="Normal 8" xfId="48"/>
    <cellStyle name="Normal 9" xfId="49"/>
    <cellStyle name="Normal_SUMMARY FOR PART1-3" xfId="5"/>
    <cellStyle name="Normale" xfId="0" builtinId="0"/>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calcChain" Target="calcChain.xml"/><Relationship Id="rId8"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MANUEL-PC/Users/Users/user/Desktop/FINISHING/Getent%20Ayehu%20B.C%20Final%20payment%2008/A-2%20Blk%2082%20300kpa-payment-08%20Getent%20Ayehu%20B.C%20r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files%20from%20mulat/Eyassu%202nd%20payment/E-1%20%20Blk%20132%20Res.%20payment%2006%20&amp;%20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OLLEN-SERVER/Users/Documents%20and%20Settings/User/Desktop/mekele%20lot%2021%20HOSPITALxls%20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Excavation%20data-re-yigletu/Excavation%20Data%20for%20stone%20masonry-RE-Yigletu,%20Jemmo%20II,%20%20(Autosave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File%20for%20Teshe/SC-may2014/Users/Melu/Desktop/Users/Preferred%20Customer/Desktop/to%20payment/pay%20according%20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BOQ%20&amp;%20CBD\Gulele%20Subcity%20-CB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Jemmo%20II%20%20Qty/Payment%20%20certificate%20%20to%20be%20approved/ALL%20PAYMENTS%20FINAL%20SEND/Dawit%202ND%20PAYMENT/E-2%20payment%2005%20alemnew%20new%20-%20Check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ALL/Amanuel%20Work/JEMMO%202/Payment%20check/Main%20Contractors/Endalemaw%20Kebede/Pay%20-03/A-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File%20for%20Teshe/SC-may2014/Users/Melu/Desktop/Users/Preferred%20Customer/Desktop/Payment%20Gulele-02%20origin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TOLLEN-SERVER/Users/Office%20projects/Hossaina%20University%20project/Hossaina%20Payment/Hossaina%203rd,6th%20pay't/payt%205%20hossaina/Communal%20facility%20contract%20document/PRICED%20BOQ%20-%20Type%20A2%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1B9DBD8/L-1%20Standa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Users/Wendimu/Desktop/L-1%20Qty%20Res%20200kpa/Takeoff/L-1%20200Kpa%20Resident%20Final%20from%20Yosep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OLLEN-SERVER/Users/Office%20projects/Hossaina%20University%20project/Hossaina%20Payment/Hossaina%203rd,6th%20pay't/payt%205%20hossaina/Office%20projects/Jemmo%20Condominium%20project/Jemmo%20payment/Communal/CM%20FP%20Erimias%20Gezaheg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OLLEN-SERVER/Users/BIRUK'S%20FILE/ADA%20BORDING%20SCHOOL/Admin%20Office/Documents%20and%20Settings/User/Desktop/mekele%20lot%2021%20HOSPITALxls%20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Documents%20and%20Settings/User.USER-97E8F5706C/Desktop/Top%20tie%20beam/E2%20200%20kpa%20Residence%20Kaleab%20Pay%2006.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C2/Users/Public/print/&#160;/Payment/Interim%20payment/Pay%20No-1/Takeoff/BoQ%20A%20Addis%20Ketem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ALL/Amanuel%20Work/JEMMO%202/Payment%20check/Main%20Contractors/Abiyot%20Solomon/Pay%20-%2001/A-2%20300Kpa%20Pay-05%20Abiyot.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OLLEN-SERVER/Users/Users/Micky%20A/Desktop/Users/Amanuel/Desktop/A-2%20Resi%20with%20diam%2016mm%20200KP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Amanuel%20Work/Yeka%20Ayat%20Condominum/Material%20required%20Feb%20,2011/Material%20Breakdown%20by%20Amanuel%20&amp;%20Hiwot%20Mar%2028-11/E-1%20Qty%20Res%20200kpa/Takeoff/L-1%20truss%20Qty%20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HELEN%20H.MARIAM/Helen%20H.mariam%20E1%20300%20kpa%20final%20shop.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Excavation%20data-re-yigletu/Excavation%20Data%20From%20site%20ins+re-yigletu,%20Jemmo%20II,%20%20(Autosave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LEX-PC/Users/hiwot%20doc/list%20of%20contractors%20and%20details/YOKA%20CONSTRUCTION/Yoka%20cosntruction%20payment%206%20to%208/A-2%20300kpa-payment-6%20TO%208%20%20yoka%20r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MANUEL-PC/Users/Users/user/Desktop/FINISHING/RHS%20for%20all%20blocks%20(original).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Aec-server/bceom/Harar%20Jijjiga/BCEOM%20Reports/EngEst/HJprelim%20Cost%20Est/BILLS~HJ(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TOLLEN-SERVER/Users/Documents%20and%20Settings/Administrator/My%20Documents/MASTER%20MODEL%20and%20trafo%20reports/Users/FITCHE/HALIMAKW.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OLLEN-SERVER/Users/Users/Tsegay/Documents/Documents/TOLLEN/Mezabir%20Real%20Estate/Books%20construction/to%20payment/pay%20according%20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9429408/L-1%20200Kpa%20Resid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BEHAILU%20YESEGATE/Behailu%20Y.%20final%20%20%20payment%20No%201%20to%2010/E-1%20200Kpa%20Pay-08%20withoutshop%20for%20Behailu%20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ESHETU%20YIRDAW/Eshetu%20Yirdaw%20payment%2008%20final/E-1%20200Kpa%20Pay-08%20withoutshop%20Eshetu%20Yirdaw.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mail.ethionet.et/~projects/ayat/inprocess/308m2/BLOCK3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MANUEL-PC/Material%20Breakdown%20by%20Amanuel%20&amp;%20Hiwot%20Mar%2028-11/hiwot%20doc/list%20of%20contractors%20and%20details/TADESSE%20SHIKUR/Tadesse%20S.%20final%202%20Payment%2008/E-2%20payment%2008%20Tadesse%20S.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92.168.1.10/Users/Preferred%20Customer/AppData/Roaming/Microsoft/Excel/Documents%20and%20Settings/Administrator/Application%20Data/Microsoft/Excel/Daniel%20Tessera%20G.C%20E2%20500/2nd%20pay/500kp%20E-2%20Res%20BLK%202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r &amp; St"/>
      <sheetName val="A-2 blcok work Res."/>
      <sheetName val="05 Sub Structure BC = 300"/>
      <sheetName val="05 RB A-2 300kp Res. Sub St."/>
      <sheetName val="05 Summary"/>
      <sheetName val="05 A-2 300kp Sup S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ructure BC = 300"/>
      <sheetName val="Roofing"/>
      <sheetName val="E-1 300kp Res. Sup St."/>
      <sheetName val="Pay-Certeficate (2)"/>
      <sheetName val="Pay-Certeficate"/>
      <sheetName val="Total Block summary "/>
      <sheetName val="Block Summary"/>
      <sheetName val="Summary"/>
      <sheetName val="Ar &amp; St"/>
      <sheetName val="RB E-1 300kp Res. Super St."/>
      <sheetName val="E-1 Plate Qty"/>
      <sheetName val="Plastering for Res."/>
      <sheetName val="Truss"/>
      <sheetName val="Latice Purlin "/>
    </sheetNames>
    <sheetDataSet>
      <sheetData sheetId="0" refreshError="1">
        <row r="7">
          <cell r="H7" t="str">
            <v>Previous Qty</v>
          </cell>
          <cell r="I7" t="str">
            <v xml:space="preserve">Current Qty </v>
          </cell>
        </row>
        <row r="10">
          <cell r="H10">
            <v>440.45</v>
          </cell>
        </row>
        <row r="11">
          <cell r="H11">
            <v>176.18</v>
          </cell>
        </row>
        <row r="12">
          <cell r="H12">
            <v>39.78</v>
          </cell>
        </row>
        <row r="13">
          <cell r="H13">
            <v>227.28</v>
          </cell>
        </row>
        <row r="14">
          <cell r="H14">
            <v>136.67999999999998</v>
          </cell>
        </row>
        <row r="15">
          <cell r="H15">
            <v>289.39999999999992</v>
          </cell>
        </row>
        <row r="16">
          <cell r="H16">
            <v>30.839999999999996</v>
          </cell>
        </row>
        <row r="17">
          <cell r="H17">
            <v>196.02</v>
          </cell>
        </row>
        <row r="18">
          <cell r="H18">
            <v>0</v>
          </cell>
        </row>
        <row r="19">
          <cell r="H19">
            <v>668.00999999999988</v>
          </cell>
        </row>
        <row r="20">
          <cell r="H20">
            <v>280.75</v>
          </cell>
        </row>
        <row r="21">
          <cell r="H21">
            <v>2485.3899999999994</v>
          </cell>
        </row>
        <row r="31">
          <cell r="H31">
            <v>94.8</v>
          </cell>
        </row>
        <row r="32">
          <cell r="H32">
            <v>41.78</v>
          </cell>
        </row>
        <row r="33">
          <cell r="H33">
            <v>19.799999999999997</v>
          </cell>
        </row>
        <row r="34">
          <cell r="H34">
            <v>280.75</v>
          </cell>
        </row>
        <row r="36">
          <cell r="H36">
            <v>61.279999999999994</v>
          </cell>
        </row>
        <row r="37">
          <cell r="H37">
            <v>6.16</v>
          </cell>
        </row>
        <row r="38">
          <cell r="H38">
            <v>15.699999999999998</v>
          </cell>
        </row>
        <row r="39">
          <cell r="H39">
            <v>280.75</v>
          </cell>
        </row>
        <row r="40">
          <cell r="H40">
            <v>292.64</v>
          </cell>
        </row>
        <row r="42">
          <cell r="H42">
            <v>119.36</v>
          </cell>
        </row>
        <row r="43">
          <cell r="H43">
            <v>77.449999999999989</v>
          </cell>
        </row>
        <row r="44">
          <cell r="H44">
            <v>152.73999999999998</v>
          </cell>
        </row>
        <row r="46">
          <cell r="H46">
            <v>639.67999999999995</v>
          </cell>
        </row>
        <row r="47">
          <cell r="H47">
            <v>735.97</v>
          </cell>
        </row>
        <row r="48">
          <cell r="H48">
            <v>0</v>
          </cell>
        </row>
        <row r="49">
          <cell r="H49">
            <v>1058.6300000000001</v>
          </cell>
        </row>
        <row r="50">
          <cell r="H50">
            <v>2131.21</v>
          </cell>
        </row>
        <row r="51">
          <cell r="H51">
            <v>546.13</v>
          </cell>
        </row>
        <row r="52">
          <cell r="H52">
            <v>1502.65</v>
          </cell>
        </row>
        <row r="53">
          <cell r="H53">
            <v>8057.48</v>
          </cell>
        </row>
        <row r="55">
          <cell r="H55">
            <v>39.879999999999995</v>
          </cell>
        </row>
        <row r="56">
          <cell r="H56">
            <v>7.21</v>
          </cell>
        </row>
        <row r="57">
          <cell r="H57">
            <v>47.089999999999996</v>
          </cell>
        </row>
      </sheetData>
      <sheetData sheetId="1" refreshError="1">
        <row r="1">
          <cell r="B1" t="str">
            <v>Project: Low Cost Housing Development Project</v>
          </cell>
        </row>
        <row r="2">
          <cell r="B2" t="str">
            <v>Location: Jemmo II</v>
          </cell>
        </row>
        <row r="3">
          <cell r="B3" t="str">
            <v>Client: Nifasilk Lafto Sub-City</v>
          </cell>
        </row>
        <row r="4">
          <cell r="B4" t="str">
            <v>Contractor: Eyassu Belete B.C.</v>
          </cell>
        </row>
        <row r="5">
          <cell r="B5" t="str">
            <v>Consultant: MGM Consult PLC</v>
          </cell>
        </row>
        <row r="6">
          <cell r="A6" t="str">
            <v>Code</v>
          </cell>
          <cell r="B6" t="str">
            <v>Timizing</v>
          </cell>
          <cell r="E6" t="str">
            <v>Dimension</v>
          </cell>
          <cell r="F6" t="str">
            <v>Qty</v>
          </cell>
        </row>
        <row r="9">
          <cell r="B9">
            <v>1</v>
          </cell>
          <cell r="C9">
            <v>1</v>
          </cell>
          <cell r="D9">
            <v>1</v>
          </cell>
          <cell r="E9">
            <v>33.72</v>
          </cell>
        </row>
        <row r="10">
          <cell r="E10">
            <v>10.6</v>
          </cell>
        </row>
        <row r="11">
          <cell r="F11">
            <v>357.43</v>
          </cell>
        </row>
        <row r="12">
          <cell r="B12">
            <v>1</v>
          </cell>
          <cell r="C12">
            <v>1</v>
          </cell>
          <cell r="D12">
            <v>2</v>
          </cell>
          <cell r="E12">
            <v>6.45</v>
          </cell>
        </row>
        <row r="13">
          <cell r="E13">
            <v>1.33</v>
          </cell>
        </row>
        <row r="14">
          <cell r="F14">
            <v>17.16</v>
          </cell>
        </row>
        <row r="15">
          <cell r="A15" t="str">
            <v>C3.1</v>
          </cell>
          <cell r="F15">
            <v>374.59000000000003</v>
          </cell>
        </row>
        <row r="18">
          <cell r="B18">
            <v>1</v>
          </cell>
          <cell r="C18">
            <v>1</v>
          </cell>
          <cell r="D18">
            <v>2</v>
          </cell>
          <cell r="E18">
            <v>33.72</v>
          </cell>
        </row>
        <row r="19">
          <cell r="F19">
            <v>67.44</v>
          </cell>
        </row>
        <row r="20">
          <cell r="B20">
            <v>1</v>
          </cell>
          <cell r="C20">
            <v>1</v>
          </cell>
          <cell r="D20">
            <v>2</v>
          </cell>
          <cell r="E20">
            <v>10.61</v>
          </cell>
        </row>
        <row r="21">
          <cell r="F21">
            <v>21.22</v>
          </cell>
        </row>
        <row r="22">
          <cell r="B22">
            <v>1</v>
          </cell>
          <cell r="C22">
            <v>1</v>
          </cell>
          <cell r="D22">
            <v>4</v>
          </cell>
          <cell r="E22">
            <v>1.33</v>
          </cell>
        </row>
        <row r="23">
          <cell r="F23">
            <v>5.32</v>
          </cell>
        </row>
        <row r="24">
          <cell r="A24" t="str">
            <v>C3.2</v>
          </cell>
          <cell r="F24">
            <v>93.97999999999999</v>
          </cell>
        </row>
        <row r="31">
          <cell r="A31" t="str">
            <v>C3.3</v>
          </cell>
        </row>
        <row r="34">
          <cell r="B34">
            <v>1</v>
          </cell>
          <cell r="C34">
            <v>1</v>
          </cell>
          <cell r="D34">
            <v>1</v>
          </cell>
          <cell r="E34">
            <v>22.22</v>
          </cell>
        </row>
        <row r="35">
          <cell r="F35">
            <v>22.22</v>
          </cell>
        </row>
        <row r="36">
          <cell r="B36">
            <v>1</v>
          </cell>
          <cell r="C36">
            <v>1</v>
          </cell>
          <cell r="D36">
            <v>2</v>
          </cell>
          <cell r="E36">
            <v>8.458503677008256</v>
          </cell>
        </row>
        <row r="37">
          <cell r="F37">
            <v>16.920000000000002</v>
          </cell>
        </row>
        <row r="38">
          <cell r="B38">
            <v>1</v>
          </cell>
          <cell r="C38">
            <v>1</v>
          </cell>
          <cell r="D38">
            <v>2</v>
          </cell>
          <cell r="E38">
            <v>7.5142033722579642</v>
          </cell>
        </row>
        <row r="39">
          <cell r="F39">
            <v>15.03</v>
          </cell>
        </row>
        <row r="40">
          <cell r="B40">
            <v>1</v>
          </cell>
          <cell r="C40">
            <v>1</v>
          </cell>
          <cell r="D40">
            <v>4</v>
          </cell>
          <cell r="E40">
            <v>5.7871938484923637</v>
          </cell>
        </row>
        <row r="41">
          <cell r="F41">
            <v>23.15</v>
          </cell>
        </row>
        <row r="42">
          <cell r="B42">
            <v>1</v>
          </cell>
          <cell r="C42">
            <v>1</v>
          </cell>
          <cell r="D42">
            <v>4</v>
          </cell>
          <cell r="E42">
            <v>4.6852596176569508</v>
          </cell>
        </row>
        <row r="43">
          <cell r="F43">
            <v>18.739999999999998</v>
          </cell>
        </row>
        <row r="44">
          <cell r="A44" t="str">
            <v>C3.4</v>
          </cell>
          <cell r="F44">
            <v>96.059999999999988</v>
          </cell>
        </row>
      </sheetData>
      <sheetData sheetId="2" refreshError="1">
        <row r="1">
          <cell r="B1" t="str">
            <v>Project: Low Cost Housing Development Project</v>
          </cell>
        </row>
        <row r="2">
          <cell r="B2" t="str">
            <v>Location: Jemmo II</v>
          </cell>
        </row>
        <row r="3">
          <cell r="B3" t="str">
            <v>Client: Nifasilk Lafto Sub-City</v>
          </cell>
        </row>
        <row r="4">
          <cell r="B4" t="str">
            <v>Contractor: Eyassu Belete B.C.</v>
          </cell>
        </row>
        <row r="5">
          <cell r="B5" t="str">
            <v>Consultant: MGM Consult PLC</v>
          </cell>
        </row>
        <row r="6">
          <cell r="A6" t="str">
            <v>Code</v>
          </cell>
          <cell r="B6" t="str">
            <v>Timizing</v>
          </cell>
          <cell r="E6" t="str">
            <v>Dimension</v>
          </cell>
          <cell r="F6" t="str">
            <v>Qty</v>
          </cell>
        </row>
        <row r="12">
          <cell r="B12">
            <v>1</v>
          </cell>
          <cell r="C12">
            <v>1</v>
          </cell>
          <cell r="D12">
            <v>24</v>
          </cell>
          <cell r="E12">
            <v>0.25</v>
          </cell>
        </row>
        <row r="13">
          <cell r="E13">
            <v>0.4</v>
          </cell>
        </row>
        <row r="14">
          <cell r="E14">
            <v>2.58</v>
          </cell>
        </row>
        <row r="15">
          <cell r="F15">
            <v>6.19</v>
          </cell>
        </row>
        <row r="16">
          <cell r="A16" t="str">
            <v>C1.1a</v>
          </cell>
          <cell r="F16">
            <v>6.19</v>
          </cell>
        </row>
        <row r="19">
          <cell r="B19">
            <v>1</v>
          </cell>
          <cell r="C19">
            <v>1</v>
          </cell>
          <cell r="D19">
            <v>4</v>
          </cell>
          <cell r="E19">
            <v>8.1999999999999993</v>
          </cell>
        </row>
        <row r="20">
          <cell r="E20">
            <v>0.2</v>
          </cell>
        </row>
        <row r="21">
          <cell r="E21">
            <v>0.3</v>
          </cell>
        </row>
        <row r="22">
          <cell r="F22">
            <v>1.97</v>
          </cell>
        </row>
        <row r="23">
          <cell r="B23">
            <v>1</v>
          </cell>
          <cell r="C23">
            <v>1</v>
          </cell>
          <cell r="D23">
            <v>4</v>
          </cell>
          <cell r="E23">
            <v>9.5300000000000011</v>
          </cell>
        </row>
        <row r="24">
          <cell r="E24">
            <v>0.2</v>
          </cell>
        </row>
        <row r="25">
          <cell r="E25">
            <v>0.3</v>
          </cell>
        </row>
        <row r="26">
          <cell r="F26">
            <v>2.29</v>
          </cell>
        </row>
        <row r="27">
          <cell r="B27">
            <v>1</v>
          </cell>
          <cell r="C27">
            <v>1</v>
          </cell>
          <cell r="D27">
            <v>1</v>
          </cell>
          <cell r="E27">
            <v>30.520000000000003</v>
          </cell>
        </row>
        <row r="28">
          <cell r="E28">
            <v>0.2</v>
          </cell>
        </row>
        <row r="29">
          <cell r="E29">
            <v>0.3</v>
          </cell>
        </row>
        <row r="30">
          <cell r="F30">
            <v>1.83</v>
          </cell>
        </row>
        <row r="31">
          <cell r="B31">
            <v>1</v>
          </cell>
          <cell r="C31">
            <v>1</v>
          </cell>
          <cell r="D31">
            <v>2</v>
          </cell>
          <cell r="E31">
            <v>4.8</v>
          </cell>
        </row>
        <row r="32">
          <cell r="E32">
            <v>0.2</v>
          </cell>
        </row>
        <row r="33">
          <cell r="E33">
            <v>0.3</v>
          </cell>
        </row>
        <row r="34">
          <cell r="F34">
            <v>0.57999999999999996</v>
          </cell>
        </row>
        <row r="35">
          <cell r="B35">
            <v>1</v>
          </cell>
          <cell r="C35">
            <v>1</v>
          </cell>
          <cell r="D35">
            <v>2</v>
          </cell>
          <cell r="E35">
            <v>8.6900000000000013</v>
          </cell>
        </row>
        <row r="36">
          <cell r="E36">
            <v>0.2</v>
          </cell>
        </row>
        <row r="37">
          <cell r="E37">
            <v>0.3</v>
          </cell>
        </row>
        <row r="38">
          <cell r="F38">
            <v>1.04</v>
          </cell>
        </row>
        <row r="39">
          <cell r="B39">
            <v>1</v>
          </cell>
          <cell r="C39">
            <v>1</v>
          </cell>
          <cell r="D39">
            <v>1</v>
          </cell>
          <cell r="E39">
            <v>20.93</v>
          </cell>
        </row>
        <row r="40">
          <cell r="E40">
            <v>0.2</v>
          </cell>
        </row>
        <row r="41">
          <cell r="E41">
            <v>0.3</v>
          </cell>
        </row>
        <row r="42">
          <cell r="F42">
            <v>1.26</v>
          </cell>
        </row>
        <row r="43">
          <cell r="B43">
            <v>1</v>
          </cell>
          <cell r="C43">
            <v>1</v>
          </cell>
          <cell r="D43">
            <v>2</v>
          </cell>
          <cell r="E43">
            <v>5</v>
          </cell>
        </row>
        <row r="44">
          <cell r="E44">
            <v>0.2</v>
          </cell>
        </row>
        <row r="45">
          <cell r="E45">
            <v>0.3</v>
          </cell>
        </row>
        <row r="46">
          <cell r="F46">
            <v>0.6</v>
          </cell>
        </row>
        <row r="47">
          <cell r="B47">
            <v>1</v>
          </cell>
          <cell r="C47">
            <v>1</v>
          </cell>
          <cell r="D47">
            <v>2</v>
          </cell>
          <cell r="E47">
            <v>4.8499999999999996</v>
          </cell>
        </row>
        <row r="48">
          <cell r="E48">
            <v>0.2</v>
          </cell>
        </row>
        <row r="49">
          <cell r="E49">
            <v>0.3</v>
          </cell>
        </row>
        <row r="50">
          <cell r="F50">
            <v>0.57999999999999996</v>
          </cell>
        </row>
        <row r="52">
          <cell r="B52">
            <v>1</v>
          </cell>
          <cell r="C52">
            <v>1</v>
          </cell>
          <cell r="D52">
            <v>24</v>
          </cell>
          <cell r="E52">
            <v>0.25</v>
          </cell>
        </row>
        <row r="53">
          <cell r="E53">
            <v>0.4</v>
          </cell>
        </row>
        <row r="54">
          <cell r="E54">
            <v>0.3</v>
          </cell>
        </row>
        <row r="55">
          <cell r="F55">
            <v>0.72</v>
          </cell>
        </row>
        <row r="56">
          <cell r="A56" t="str">
            <v>C1.1b</v>
          </cell>
          <cell r="F56">
            <v>10.870000000000001</v>
          </cell>
        </row>
        <row r="60">
          <cell r="B60">
            <v>1</v>
          </cell>
          <cell r="C60">
            <v>1</v>
          </cell>
          <cell r="D60">
            <v>24</v>
          </cell>
          <cell r="E60">
            <v>1.3</v>
          </cell>
        </row>
        <row r="61">
          <cell r="E61">
            <v>2.58</v>
          </cell>
        </row>
        <row r="62">
          <cell r="F62">
            <v>80.5</v>
          </cell>
        </row>
        <row r="63">
          <cell r="A63" t="str">
            <v>C1.3a</v>
          </cell>
          <cell r="F63">
            <v>80.5</v>
          </cell>
        </row>
        <row r="67">
          <cell r="B67">
            <v>1</v>
          </cell>
          <cell r="C67">
            <v>1</v>
          </cell>
          <cell r="D67">
            <v>1</v>
          </cell>
          <cell r="E67">
            <v>89.16</v>
          </cell>
        </row>
        <row r="68">
          <cell r="E68">
            <v>0.3</v>
          </cell>
        </row>
        <row r="69">
          <cell r="F69">
            <v>26.75</v>
          </cell>
        </row>
        <row r="71">
          <cell r="B71">
            <v>1</v>
          </cell>
          <cell r="C71">
            <v>1</v>
          </cell>
          <cell r="D71">
            <v>2</v>
          </cell>
          <cell r="E71">
            <v>27.3</v>
          </cell>
        </row>
        <row r="72">
          <cell r="E72">
            <v>0.3</v>
          </cell>
        </row>
        <row r="73">
          <cell r="F73">
            <v>16.38</v>
          </cell>
        </row>
        <row r="74">
          <cell r="B74">
            <v>1</v>
          </cell>
          <cell r="C74">
            <v>1</v>
          </cell>
          <cell r="D74">
            <v>2</v>
          </cell>
          <cell r="E74">
            <v>58.559999999999995</v>
          </cell>
        </row>
        <row r="75">
          <cell r="E75">
            <v>0.3</v>
          </cell>
        </row>
        <row r="76">
          <cell r="F76">
            <v>35.14</v>
          </cell>
        </row>
        <row r="77">
          <cell r="B77">
            <v>1</v>
          </cell>
          <cell r="C77">
            <v>1</v>
          </cell>
          <cell r="D77">
            <v>2</v>
          </cell>
          <cell r="E77">
            <v>32.96</v>
          </cell>
        </row>
        <row r="78">
          <cell r="E78">
            <v>0.3</v>
          </cell>
        </row>
        <row r="79">
          <cell r="F79">
            <v>19.78</v>
          </cell>
        </row>
        <row r="80">
          <cell r="B80">
            <v>1</v>
          </cell>
          <cell r="C80">
            <v>1</v>
          </cell>
          <cell r="D80">
            <v>1</v>
          </cell>
          <cell r="E80">
            <v>25.28</v>
          </cell>
        </row>
        <row r="81">
          <cell r="E81">
            <v>0.3</v>
          </cell>
        </row>
        <row r="82">
          <cell r="F82">
            <v>7.58</v>
          </cell>
        </row>
        <row r="84">
          <cell r="B84">
            <v>1</v>
          </cell>
          <cell r="C84">
            <v>1</v>
          </cell>
          <cell r="D84">
            <v>4</v>
          </cell>
          <cell r="E84">
            <v>8.1999999999999993</v>
          </cell>
        </row>
        <row r="85">
          <cell r="E85">
            <v>0.2</v>
          </cell>
        </row>
        <row r="86">
          <cell r="F86">
            <v>6.56</v>
          </cell>
        </row>
        <row r="87">
          <cell r="B87">
            <v>1</v>
          </cell>
          <cell r="C87">
            <v>1</v>
          </cell>
          <cell r="D87">
            <v>4</v>
          </cell>
          <cell r="E87">
            <v>9.5300000000000011</v>
          </cell>
        </row>
        <row r="88">
          <cell r="E88">
            <v>0.2</v>
          </cell>
        </row>
        <row r="89">
          <cell r="F89">
            <v>7.62</v>
          </cell>
        </row>
        <row r="90">
          <cell r="B90">
            <v>1</v>
          </cell>
          <cell r="C90">
            <v>1</v>
          </cell>
          <cell r="D90">
            <v>2</v>
          </cell>
          <cell r="E90">
            <v>5</v>
          </cell>
        </row>
        <row r="91">
          <cell r="E91">
            <v>0.2</v>
          </cell>
        </row>
        <row r="92">
          <cell r="F92">
            <v>2</v>
          </cell>
        </row>
        <row r="93">
          <cell r="B93">
            <v>1</v>
          </cell>
          <cell r="C93">
            <v>1</v>
          </cell>
          <cell r="D93">
            <v>1</v>
          </cell>
          <cell r="E93">
            <v>9.6999999999999993</v>
          </cell>
        </row>
        <row r="94">
          <cell r="E94">
            <v>0.2</v>
          </cell>
        </row>
        <row r="95">
          <cell r="F95">
            <v>1.94</v>
          </cell>
        </row>
        <row r="96">
          <cell r="B96">
            <v>1</v>
          </cell>
          <cell r="C96">
            <v>1</v>
          </cell>
          <cell r="D96">
            <v>1</v>
          </cell>
          <cell r="E96">
            <v>20.92</v>
          </cell>
        </row>
        <row r="97">
          <cell r="E97">
            <v>0.2</v>
          </cell>
        </row>
        <row r="98">
          <cell r="F98">
            <v>4.18</v>
          </cell>
        </row>
        <row r="99">
          <cell r="B99">
            <v>1</v>
          </cell>
          <cell r="C99">
            <v>1</v>
          </cell>
          <cell r="D99">
            <v>1</v>
          </cell>
          <cell r="E99">
            <v>9.6</v>
          </cell>
        </row>
        <row r="100">
          <cell r="E100">
            <v>0.2</v>
          </cell>
        </row>
        <row r="101">
          <cell r="F101">
            <v>1.92</v>
          </cell>
        </row>
        <row r="102">
          <cell r="B102">
            <v>1</v>
          </cell>
          <cell r="C102">
            <v>1</v>
          </cell>
          <cell r="D102">
            <v>1</v>
          </cell>
          <cell r="E102">
            <v>17.38</v>
          </cell>
        </row>
        <row r="103">
          <cell r="E103">
            <v>0.2</v>
          </cell>
        </row>
        <row r="104">
          <cell r="F104">
            <v>3.48</v>
          </cell>
        </row>
        <row r="105">
          <cell r="B105">
            <v>1</v>
          </cell>
          <cell r="C105">
            <v>1</v>
          </cell>
          <cell r="D105">
            <v>1</v>
          </cell>
          <cell r="E105">
            <v>30.520000000000003</v>
          </cell>
        </row>
        <row r="106">
          <cell r="E106">
            <v>0.2</v>
          </cell>
        </row>
        <row r="107">
          <cell r="F107">
            <v>0</v>
          </cell>
        </row>
        <row r="108">
          <cell r="A108" t="str">
            <v>C1.3b</v>
          </cell>
          <cell r="F108">
            <v>133.32999999999998</v>
          </cell>
        </row>
        <row r="111">
          <cell r="A111" t="str">
            <v>C1.4a</v>
          </cell>
          <cell r="F111">
            <v>0</v>
          </cell>
        </row>
        <row r="113">
          <cell r="A113" t="str">
            <v>C1.4b</v>
          </cell>
          <cell r="F113">
            <v>557.34</v>
          </cell>
        </row>
        <row r="115">
          <cell r="A115" t="str">
            <v>C1.4c</v>
          </cell>
          <cell r="F115">
            <v>0</v>
          </cell>
        </row>
        <row r="117">
          <cell r="A117" t="str">
            <v>C1.4d</v>
          </cell>
          <cell r="F117">
            <v>323.68</v>
          </cell>
        </row>
        <row r="119">
          <cell r="A119" t="str">
            <v>C1.4e</v>
          </cell>
          <cell r="F119">
            <v>958.39</v>
          </cell>
        </row>
        <row r="121">
          <cell r="A121" t="str">
            <v>C1.4f</v>
          </cell>
          <cell r="F121">
            <v>453.24</v>
          </cell>
        </row>
        <row r="123">
          <cell r="A123" t="str">
            <v>C1.4g</v>
          </cell>
          <cell r="F123">
            <v>0</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ow r="1">
          <cell r="B1" t="str">
            <v>Project: Low Cost Housing Development Project</v>
          </cell>
        </row>
      </sheetData>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alysi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mon Weldu A2,E1-FevV"/>
      <sheetName val="BEREKET YEMANE-A2,E1-HENOKX"/>
      <sheetName val="SISAY GMARIAM,A2,A2-HENOKX"/>
      <sheetName val="Tesfu Beyen- A2,E1-hENOKX"/>
      <sheetName val="Wendwessen- A2,A1-fevenV "/>
      <sheetName val="Sisay Tedla b.c.- A2,E1-FevX "/>
      <sheetName val="YOKA CONS. A2,E1-YESHITILAX"/>
      <sheetName val="Teshale Asrat- E2,E1-Yesh"/>
      <sheetName val="Adot con.- A2,E1-Yeshitila"/>
      <sheetName val="Eshetu Yirdaw bc.-A2,E1-TsedeyV"/>
      <sheetName val="Sara B.c.- A2,E1-TsedeyV"/>
      <sheetName val="Seid Abdela-A2,E1-TsedeyV"/>
      <sheetName val="kinfe hailu,e1,a2(dagne)X"/>
      <sheetName val="mathios teshome E1,A2 (dagne)X"/>
      <sheetName val="Amha Wegayehu- E2,E1-Tsedey"/>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dows and Doors"/>
      <sheetName val="BOQ Ar &amp; St"/>
      <sheetName val="Sub-Structure Rein"/>
      <sheetName val="Super-Structure Rein"/>
      <sheetName val="T-OFF"/>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Labor data"/>
      <sheetName val="Equipment data"/>
      <sheetName val="Material data"/>
      <sheetName val="cost breakdown"/>
      <sheetName val="Summary"/>
      <sheetName val="Assumptions"/>
      <sheetName val="indirect cost"/>
      <sheetName val="A.Inform"/>
      <sheetName val="Proforma"/>
      <sheetName val="EST PAYM"/>
      <sheetName val="ADVANCE DISB"/>
      <sheetName val="major equipment schedule"/>
      <sheetName val="MATERIAL"/>
      <sheetName val="LABOR"/>
    </sheetNames>
    <sheetDataSet>
      <sheetData sheetId="0" refreshError="1"/>
      <sheetData sheetId="1" refreshError="1"/>
      <sheetData sheetId="2" refreshError="1">
        <row r="1">
          <cell r="B1">
            <v>0</v>
          </cell>
        </row>
        <row r="9">
          <cell r="B9" t="str">
            <v>Asphalt heater</v>
          </cell>
        </row>
        <row r="10">
          <cell r="B10" t="str">
            <v>D. Truck (10m3)</v>
          </cell>
        </row>
        <row r="11">
          <cell r="B11" t="str">
            <v>Asphalt dstributer</v>
          </cell>
        </row>
        <row r="12">
          <cell r="B12" t="str">
            <v>Excavator</v>
          </cell>
        </row>
        <row r="13">
          <cell r="B13" t="str">
            <v>Grinding machine</v>
          </cell>
        </row>
        <row r="14">
          <cell r="B14" t="str">
            <v>Power broom</v>
          </cell>
        </row>
        <row r="15">
          <cell r="B15" t="str">
            <v>Roller</v>
          </cell>
        </row>
        <row r="16">
          <cell r="B16" t="str">
            <v>Welding machine</v>
          </cell>
        </row>
        <row r="17">
          <cell r="B17" t="str">
            <v>Wheel loader CAT 938</v>
          </cell>
        </row>
        <row r="18">
          <cell r="B18" t="str">
            <v>Bull dozer (D8R)</v>
          </cell>
        </row>
        <row r="19">
          <cell r="B19" t="str">
            <v>Motor grader</v>
          </cell>
        </row>
        <row r="20">
          <cell r="B20" t="str">
            <v>Water truck</v>
          </cell>
        </row>
        <row r="21">
          <cell r="B21" t="str">
            <v>Concrete Batching plant</v>
          </cell>
        </row>
        <row r="22">
          <cell r="B22" t="str">
            <v>Concrete truck mixer</v>
          </cell>
        </row>
        <row r="23">
          <cell r="B23" t="str">
            <v>Tower crane</v>
          </cell>
        </row>
        <row r="24">
          <cell r="B24" t="str">
            <v>Doze D6</v>
          </cell>
        </row>
        <row r="25">
          <cell r="B25" t="str">
            <v>Mobile crane</v>
          </cell>
        </row>
        <row r="26">
          <cell r="B26" t="str">
            <v>Crusher (120T)</v>
          </cell>
        </row>
        <row r="27">
          <cell r="B27" t="str">
            <v>Generator (320KW)</v>
          </cell>
        </row>
        <row r="28">
          <cell r="B28" t="str">
            <v>Mixer-350lit</v>
          </cell>
        </row>
        <row r="29">
          <cell r="B29" t="str">
            <v>Asphalt distributor</v>
          </cell>
        </row>
        <row r="30">
          <cell r="B30" t="str">
            <v>Crusher, 120TPH</v>
          </cell>
        </row>
        <row r="31">
          <cell r="B31" t="str">
            <v>Mixer-500lit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2 Res (EXC&amp;MAS200kp)"/>
      <sheetName val="Block Summary"/>
      <sheetName val="Summary"/>
      <sheetName val=" Sub Structure BC = 200"/>
      <sheetName val=" E2 Res TAKOFF(con sub200kp)"/>
      <sheetName val=" TAKE OFF(form sub 200kp)"/>
      <sheetName val="E2 Res TAKE OFF(ref sub 200 kp)"/>
      <sheetName val=" Ar &amp; St"/>
      <sheetName val=" TAKE OFF(con super 200kp)"/>
      <sheetName val="E2 ResTAKEOFF(refsup bar 200kp)"/>
      <sheetName val=" TAKE OFF(form super 200kp)"/>
      <sheetName val="Sheet1"/>
    </sheetNames>
    <sheetDataSet>
      <sheetData sheetId="0" refreshError="1">
        <row r="1">
          <cell r="B1" t="str">
            <v>Final Residence</v>
          </cell>
        </row>
        <row r="2">
          <cell r="B2" t="str">
            <v>TAKEOFF SHEET FOR</v>
          </cell>
        </row>
        <row r="3">
          <cell r="B3" t="str">
            <v xml:space="preserve"> CLIENT: AAHDPO</v>
          </cell>
        </row>
        <row r="4">
          <cell r="B4" t="str">
            <v>Type E-2 (G+4)</v>
          </cell>
        </row>
        <row r="5">
          <cell r="B5" t="str">
            <v>LOCATION :- ADDIS ABABA,BC=200</v>
          </cell>
        </row>
        <row r="6">
          <cell r="B6" t="str">
            <v>SUB STRUCTURE</v>
          </cell>
        </row>
        <row r="8">
          <cell r="B8" t="str">
            <v>1) EXCAVATION &amp; EARTH WORKS</v>
          </cell>
        </row>
        <row r="9">
          <cell r="B9" t="str">
            <v>1.1 Site clearing</v>
          </cell>
          <cell r="C9">
            <v>1</v>
          </cell>
          <cell r="D9">
            <v>25.42</v>
          </cell>
        </row>
        <row r="10">
          <cell r="D10">
            <v>11.153</v>
          </cell>
        </row>
        <row r="11">
          <cell r="A11" t="str">
            <v>B1.1</v>
          </cell>
          <cell r="E11">
            <v>283.51</v>
          </cell>
        </row>
        <row r="13">
          <cell r="B13" t="str">
            <v>1.2 Bulk Excavation</v>
          </cell>
          <cell r="C13">
            <v>1</v>
          </cell>
          <cell r="D13">
            <v>25.42</v>
          </cell>
        </row>
        <row r="14">
          <cell r="D14">
            <v>11.153</v>
          </cell>
        </row>
        <row r="15">
          <cell r="D15">
            <v>0.4</v>
          </cell>
        </row>
        <row r="16">
          <cell r="A16" t="str">
            <v>B1.2</v>
          </cell>
          <cell r="E16">
            <v>113.4</v>
          </cell>
        </row>
        <row r="18">
          <cell r="B18" t="str">
            <v>1.3 Trench Excavation</v>
          </cell>
          <cell r="C18">
            <v>2</v>
          </cell>
          <cell r="D18">
            <v>3.4060000000000001</v>
          </cell>
        </row>
        <row r="19">
          <cell r="D19">
            <v>1</v>
          </cell>
        </row>
        <row r="20">
          <cell r="D20">
            <v>0.9</v>
          </cell>
        </row>
        <row r="21">
          <cell r="E21">
            <v>6.13</v>
          </cell>
        </row>
        <row r="23">
          <cell r="C23">
            <v>2</v>
          </cell>
          <cell r="D23">
            <v>0.08</v>
          </cell>
        </row>
        <row r="24">
          <cell r="D24">
            <v>1</v>
          </cell>
        </row>
        <row r="25">
          <cell r="D25">
            <v>0.9</v>
          </cell>
        </row>
        <row r="26">
          <cell r="E26">
            <v>0.14000000000000001</v>
          </cell>
        </row>
        <row r="28">
          <cell r="C28">
            <v>1</v>
          </cell>
          <cell r="D28">
            <v>5.04</v>
          </cell>
        </row>
        <row r="29">
          <cell r="D29">
            <v>1</v>
          </cell>
        </row>
        <row r="30">
          <cell r="D30">
            <v>0.9</v>
          </cell>
        </row>
        <row r="31">
          <cell r="E31">
            <v>4.54</v>
          </cell>
        </row>
        <row r="33">
          <cell r="C33">
            <v>2</v>
          </cell>
          <cell r="D33">
            <v>1.05</v>
          </cell>
        </row>
        <row r="34">
          <cell r="D34">
            <v>0.33</v>
          </cell>
        </row>
        <row r="35">
          <cell r="D35">
            <v>0.9</v>
          </cell>
        </row>
        <row r="36">
          <cell r="E36">
            <v>0.62</v>
          </cell>
        </row>
        <row r="38">
          <cell r="C38">
            <v>2</v>
          </cell>
          <cell r="D38">
            <v>1.5149999999999999</v>
          </cell>
        </row>
        <row r="39">
          <cell r="D39">
            <v>1</v>
          </cell>
        </row>
        <row r="40">
          <cell r="D40">
            <v>0.9</v>
          </cell>
        </row>
        <row r="41">
          <cell r="E41">
            <v>2.73</v>
          </cell>
        </row>
        <row r="43">
          <cell r="C43">
            <v>1</v>
          </cell>
          <cell r="D43">
            <v>7.27</v>
          </cell>
        </row>
        <row r="44">
          <cell r="D44">
            <v>1</v>
          </cell>
        </row>
        <row r="45">
          <cell r="D45">
            <v>0.9</v>
          </cell>
        </row>
        <row r="46">
          <cell r="E46">
            <v>6.54</v>
          </cell>
        </row>
        <row r="48">
          <cell r="C48">
            <v>2</v>
          </cell>
          <cell r="D48">
            <v>0.625</v>
          </cell>
        </row>
        <row r="49">
          <cell r="D49">
            <v>0.70300000000000007</v>
          </cell>
        </row>
        <row r="50">
          <cell r="D50">
            <v>0.9</v>
          </cell>
        </row>
        <row r="51">
          <cell r="E51">
            <v>0.79</v>
          </cell>
        </row>
        <row r="53">
          <cell r="C53">
            <v>4</v>
          </cell>
          <cell r="D53">
            <v>3.1</v>
          </cell>
        </row>
        <row r="54">
          <cell r="D54">
            <v>0.40300000000000002</v>
          </cell>
        </row>
        <row r="55">
          <cell r="D55">
            <v>0.9</v>
          </cell>
        </row>
        <row r="56">
          <cell r="E56">
            <v>4.5</v>
          </cell>
        </row>
        <row r="57">
          <cell r="A57" t="str">
            <v>B1.3</v>
          </cell>
          <cell r="E57">
            <v>25.99</v>
          </cell>
        </row>
        <row r="58">
          <cell r="B58" t="str">
            <v>1.4 Excavate in ordinary soil for isolated footing to a depth not exceeding 1500mm from stripped level.</v>
          </cell>
        </row>
        <row r="59">
          <cell r="C59">
            <v>10</v>
          </cell>
          <cell r="D59">
            <v>3.1</v>
          </cell>
        </row>
        <row r="60">
          <cell r="D60">
            <v>3.1</v>
          </cell>
        </row>
        <row r="61">
          <cell r="D61">
            <v>1.5</v>
          </cell>
        </row>
        <row r="62">
          <cell r="E62">
            <v>144.15</v>
          </cell>
        </row>
        <row r="64">
          <cell r="C64">
            <v>2</v>
          </cell>
          <cell r="D64">
            <v>2.9</v>
          </cell>
        </row>
        <row r="65">
          <cell r="D65">
            <v>2.9</v>
          </cell>
        </row>
        <row r="66">
          <cell r="D66">
            <v>1.5</v>
          </cell>
        </row>
        <row r="67">
          <cell r="E67">
            <v>25.23</v>
          </cell>
        </row>
        <row r="69">
          <cell r="C69">
            <v>4</v>
          </cell>
          <cell r="D69">
            <v>2.5</v>
          </cell>
        </row>
        <row r="70">
          <cell r="D70">
            <v>2.5</v>
          </cell>
        </row>
        <row r="71">
          <cell r="D71">
            <v>1.5</v>
          </cell>
        </row>
        <row r="72">
          <cell r="E72">
            <v>37.5</v>
          </cell>
        </row>
        <row r="74">
          <cell r="C74">
            <v>2</v>
          </cell>
          <cell r="D74">
            <v>2.1</v>
          </cell>
        </row>
        <row r="75">
          <cell r="D75">
            <v>2.1</v>
          </cell>
        </row>
        <row r="76">
          <cell r="D76">
            <v>1.5</v>
          </cell>
        </row>
        <row r="77">
          <cell r="E77">
            <v>13.23</v>
          </cell>
        </row>
        <row r="79">
          <cell r="A79" t="str">
            <v>B1.4</v>
          </cell>
          <cell r="E79">
            <v>220.11</v>
          </cell>
        </row>
        <row r="80">
          <cell r="B80" t="str">
            <v>1.5 Excavate in ordinary soil for isolated footing to a depth exceeding 1500mm but not exceeding 300mm from stripped level.</v>
          </cell>
        </row>
        <row r="81">
          <cell r="E81" t="str">
            <v>This data is obtained from excavation data attached at the back</v>
          </cell>
        </row>
        <row r="82">
          <cell r="A82" t="str">
            <v>B1.5</v>
          </cell>
          <cell r="E82">
            <v>89.22</v>
          </cell>
        </row>
        <row r="84">
          <cell r="B84" t="str">
            <v>1.6 Fill around footing pad and foundation column</v>
          </cell>
          <cell r="E84">
            <v>220.11</v>
          </cell>
        </row>
        <row r="85">
          <cell r="E85">
            <v>89.22</v>
          </cell>
        </row>
        <row r="87">
          <cell r="E87">
            <v>-5.0119999999999996</v>
          </cell>
        </row>
        <row r="88">
          <cell r="E88">
            <v>-45.618242509277053</v>
          </cell>
        </row>
        <row r="89">
          <cell r="E89">
            <v>-3.3048000000000002</v>
          </cell>
        </row>
        <row r="90">
          <cell r="D90">
            <v>-20.55</v>
          </cell>
        </row>
        <row r="91">
          <cell r="D91">
            <v>0.5</v>
          </cell>
        </row>
        <row r="92">
          <cell r="D92">
            <v>0.4</v>
          </cell>
        </row>
        <row r="93">
          <cell r="E93">
            <v>-4.1100000000000003</v>
          </cell>
        </row>
        <row r="94">
          <cell r="A94" t="str">
            <v>B1.6</v>
          </cell>
          <cell r="E94">
            <v>251.28</v>
          </cell>
        </row>
        <row r="96">
          <cell r="B96" t="str">
            <v>1.7 Fill around stone masonry</v>
          </cell>
        </row>
        <row r="98">
          <cell r="C98">
            <v>2</v>
          </cell>
          <cell r="D98">
            <v>3.4060000000000001</v>
          </cell>
        </row>
        <row r="99">
          <cell r="D99">
            <v>1</v>
          </cell>
        </row>
        <row r="100">
          <cell r="D100">
            <v>0.5</v>
          </cell>
        </row>
        <row r="101">
          <cell r="E101">
            <v>3.41</v>
          </cell>
        </row>
        <row r="103">
          <cell r="C103">
            <v>2</v>
          </cell>
          <cell r="D103">
            <v>0.08</v>
          </cell>
        </row>
        <row r="104">
          <cell r="D104">
            <v>1</v>
          </cell>
        </row>
        <row r="105">
          <cell r="D105">
            <v>0.5</v>
          </cell>
        </row>
        <row r="106">
          <cell r="E106">
            <v>0.08</v>
          </cell>
        </row>
        <row r="108">
          <cell r="C108">
            <v>1</v>
          </cell>
          <cell r="D108">
            <v>5.04</v>
          </cell>
        </row>
        <row r="109">
          <cell r="D109">
            <v>1</v>
          </cell>
        </row>
        <row r="110">
          <cell r="D110">
            <v>0.5</v>
          </cell>
        </row>
        <row r="111">
          <cell r="E111">
            <v>2.52</v>
          </cell>
        </row>
        <row r="113">
          <cell r="C113">
            <v>2</v>
          </cell>
          <cell r="D113">
            <v>1.05</v>
          </cell>
        </row>
        <row r="114">
          <cell r="D114">
            <v>0.33</v>
          </cell>
        </row>
        <row r="115">
          <cell r="D115">
            <v>0.5</v>
          </cell>
        </row>
        <row r="116">
          <cell r="E116">
            <v>0.35</v>
          </cell>
        </row>
        <row r="118">
          <cell r="C118">
            <v>2</v>
          </cell>
          <cell r="D118">
            <v>1.5149999999999999</v>
          </cell>
        </row>
        <row r="119">
          <cell r="D119">
            <v>1</v>
          </cell>
        </row>
        <row r="120">
          <cell r="D120">
            <v>0.5</v>
          </cell>
        </row>
        <row r="121">
          <cell r="E121">
            <v>1.52</v>
          </cell>
        </row>
        <row r="123">
          <cell r="C123">
            <v>1</v>
          </cell>
          <cell r="D123">
            <v>7.27</v>
          </cell>
        </row>
        <row r="124">
          <cell r="D124">
            <v>1</v>
          </cell>
        </row>
        <row r="125">
          <cell r="D125">
            <v>0.5</v>
          </cell>
        </row>
        <row r="126">
          <cell r="E126">
            <v>3.64</v>
          </cell>
        </row>
        <row r="128">
          <cell r="C128">
            <v>2</v>
          </cell>
          <cell r="D128">
            <v>0.625</v>
          </cell>
        </row>
        <row r="129">
          <cell r="D129">
            <v>0.70300000000000007</v>
          </cell>
        </row>
        <row r="130">
          <cell r="D130">
            <v>0.5</v>
          </cell>
        </row>
        <row r="131">
          <cell r="E131">
            <v>0.44</v>
          </cell>
        </row>
        <row r="133">
          <cell r="C133">
            <v>4</v>
          </cell>
          <cell r="D133">
            <v>3.1</v>
          </cell>
        </row>
        <row r="134">
          <cell r="D134">
            <v>0.40300000000000002</v>
          </cell>
        </row>
        <row r="135">
          <cell r="D135">
            <v>0.5</v>
          </cell>
        </row>
        <row r="136">
          <cell r="E136">
            <v>2.5</v>
          </cell>
        </row>
        <row r="139">
          <cell r="C139">
            <v>2</v>
          </cell>
          <cell r="D139">
            <v>3.41</v>
          </cell>
        </row>
        <row r="140">
          <cell r="D140">
            <v>1</v>
          </cell>
        </row>
        <row r="141">
          <cell r="D141">
            <v>0.4</v>
          </cell>
        </row>
        <row r="142">
          <cell r="E142">
            <v>2.73</v>
          </cell>
        </row>
        <row r="144">
          <cell r="C144">
            <v>2</v>
          </cell>
          <cell r="D144">
            <v>0.08</v>
          </cell>
        </row>
        <row r="145">
          <cell r="D145">
            <v>1</v>
          </cell>
        </row>
        <row r="146">
          <cell r="D146">
            <v>0.4</v>
          </cell>
        </row>
        <row r="147">
          <cell r="E147">
            <v>0.06</v>
          </cell>
        </row>
        <row r="149">
          <cell r="C149">
            <v>1</v>
          </cell>
          <cell r="D149">
            <v>5.04</v>
          </cell>
        </row>
        <row r="150">
          <cell r="D150">
            <v>1</v>
          </cell>
        </row>
        <row r="151">
          <cell r="D151">
            <v>0.4</v>
          </cell>
        </row>
        <row r="152">
          <cell r="E152">
            <v>2.02</v>
          </cell>
        </row>
        <row r="154">
          <cell r="C154">
            <v>2</v>
          </cell>
          <cell r="D154">
            <v>1.05</v>
          </cell>
        </row>
        <row r="155">
          <cell r="D155">
            <v>0.33</v>
          </cell>
        </row>
        <row r="156">
          <cell r="D156">
            <v>0.4</v>
          </cell>
        </row>
        <row r="157">
          <cell r="E157">
            <v>0.28000000000000003</v>
          </cell>
        </row>
        <row r="159">
          <cell r="C159">
            <v>2</v>
          </cell>
          <cell r="D159">
            <v>1.5149999999999999</v>
          </cell>
        </row>
        <row r="160">
          <cell r="D160">
            <v>1</v>
          </cell>
        </row>
        <row r="161">
          <cell r="D161">
            <v>0.4</v>
          </cell>
        </row>
        <row r="162">
          <cell r="E162">
            <v>1.21</v>
          </cell>
        </row>
        <row r="164">
          <cell r="C164">
            <v>1</v>
          </cell>
          <cell r="D164">
            <v>7.27</v>
          </cell>
        </row>
        <row r="165">
          <cell r="D165">
            <v>1</v>
          </cell>
        </row>
        <row r="166">
          <cell r="D166">
            <v>0.4</v>
          </cell>
        </row>
        <row r="167">
          <cell r="E167">
            <v>2.91</v>
          </cell>
        </row>
        <row r="169">
          <cell r="C169">
            <v>2</v>
          </cell>
          <cell r="D169">
            <v>0.625</v>
          </cell>
        </row>
        <row r="170">
          <cell r="D170">
            <v>0.70300000000000007</v>
          </cell>
        </row>
        <row r="171">
          <cell r="D171">
            <v>0.4</v>
          </cell>
        </row>
        <row r="172">
          <cell r="E172">
            <v>0.35</v>
          </cell>
        </row>
        <row r="174">
          <cell r="C174">
            <v>4</v>
          </cell>
          <cell r="D174">
            <v>3.1</v>
          </cell>
        </row>
        <row r="175">
          <cell r="D175">
            <v>0.40300000000000002</v>
          </cell>
        </row>
        <row r="176">
          <cell r="D176">
            <v>0.4</v>
          </cell>
        </row>
        <row r="177">
          <cell r="E177">
            <v>2</v>
          </cell>
        </row>
        <row r="179">
          <cell r="A179" t="str">
            <v>B1.7</v>
          </cell>
          <cell r="E179">
            <v>26.02</v>
          </cell>
        </row>
        <row r="181">
          <cell r="B181" t="str">
            <v>1.8 Back Fill Under Hardcore From Quarry</v>
          </cell>
        </row>
        <row r="183">
          <cell r="C183">
            <v>1</v>
          </cell>
          <cell r="D183">
            <v>203.13</v>
          </cell>
        </row>
        <row r="184">
          <cell r="D184">
            <v>0.74</v>
          </cell>
        </row>
        <row r="185">
          <cell r="E185">
            <v>150.32</v>
          </cell>
        </row>
        <row r="186">
          <cell r="A186" t="str">
            <v>B1.8</v>
          </cell>
          <cell r="E186">
            <v>150.32</v>
          </cell>
        </row>
        <row r="187">
          <cell r="A187" t="str">
            <v>B1.9</v>
          </cell>
        </row>
        <row r="188">
          <cell r="B188" t="str">
            <v>1.10 Cart away</v>
          </cell>
          <cell r="E188">
            <v>56.701999999999998</v>
          </cell>
        </row>
        <row r="189">
          <cell r="E189">
            <v>113.4</v>
          </cell>
        </row>
        <row r="190">
          <cell r="E190">
            <v>25.99</v>
          </cell>
        </row>
        <row r="191">
          <cell r="E191">
            <v>220.11</v>
          </cell>
        </row>
        <row r="192">
          <cell r="E192">
            <v>89.22</v>
          </cell>
        </row>
        <row r="193">
          <cell r="A193" t="str">
            <v>B1.10</v>
          </cell>
          <cell r="E193">
            <v>505.42</v>
          </cell>
        </row>
        <row r="195">
          <cell r="B195" t="str">
            <v>1.11 Hard core under 100mm thick ground floor slab</v>
          </cell>
        </row>
        <row r="196">
          <cell r="C196">
            <v>1</v>
          </cell>
          <cell r="D196">
            <v>22.42</v>
          </cell>
        </row>
        <row r="197">
          <cell r="D197">
            <v>10.984999999999999</v>
          </cell>
        </row>
        <row r="198">
          <cell r="E198">
            <v>246.28</v>
          </cell>
        </row>
        <row r="200">
          <cell r="C200">
            <v>-2</v>
          </cell>
          <cell r="D200">
            <v>1.33</v>
          </cell>
        </row>
        <row r="201">
          <cell r="D201">
            <v>4.0399999999999991</v>
          </cell>
        </row>
        <row r="202">
          <cell r="E202">
            <v>-10.75</v>
          </cell>
        </row>
        <row r="204">
          <cell r="C204">
            <v>-2</v>
          </cell>
          <cell r="D204">
            <v>27.025000000000006</v>
          </cell>
        </row>
        <row r="205">
          <cell r="D205">
            <v>0.2</v>
          </cell>
        </row>
        <row r="206">
          <cell r="E206">
            <v>-10.81</v>
          </cell>
        </row>
        <row r="208">
          <cell r="C208">
            <v>-1</v>
          </cell>
          <cell r="D208">
            <v>101.32</v>
          </cell>
        </row>
        <row r="209">
          <cell r="D209">
            <v>0.2</v>
          </cell>
        </row>
        <row r="210">
          <cell r="E210">
            <v>-20.260000000000002</v>
          </cell>
        </row>
        <row r="212">
          <cell r="C212">
            <v>-6</v>
          </cell>
          <cell r="D212">
            <v>0.25</v>
          </cell>
        </row>
        <row r="213">
          <cell r="D213">
            <v>0.4</v>
          </cell>
        </row>
        <row r="214">
          <cell r="E214">
            <v>-0.6</v>
          </cell>
        </row>
        <row r="216">
          <cell r="C216">
            <v>-12</v>
          </cell>
          <cell r="D216">
            <v>0.3</v>
          </cell>
        </row>
        <row r="217">
          <cell r="D217">
            <v>0.4</v>
          </cell>
        </row>
        <row r="218">
          <cell r="E218">
            <v>-1.44</v>
          </cell>
        </row>
        <row r="220">
          <cell r="A220" t="str">
            <v>B1.11</v>
          </cell>
          <cell r="E220">
            <v>202.42</v>
          </cell>
        </row>
        <row r="222">
          <cell r="B222" t="str">
            <v>3. Masonry Work</v>
          </cell>
          <cell r="C222">
            <v>1</v>
          </cell>
          <cell r="D222">
            <v>8.65</v>
          </cell>
        </row>
        <row r="223">
          <cell r="B223" t="str">
            <v>3.1 Below GL</v>
          </cell>
          <cell r="D223">
            <v>0.5</v>
          </cell>
        </row>
        <row r="224">
          <cell r="D224">
            <v>0.98</v>
          </cell>
        </row>
        <row r="225">
          <cell r="E225">
            <v>4.24</v>
          </cell>
        </row>
        <row r="227">
          <cell r="C227">
            <v>1</v>
          </cell>
          <cell r="D227">
            <v>8.65</v>
          </cell>
        </row>
        <row r="228">
          <cell r="D228">
            <v>0.5</v>
          </cell>
        </row>
        <row r="229">
          <cell r="D229">
            <v>1.0900000000000001</v>
          </cell>
        </row>
        <row r="230">
          <cell r="E230">
            <v>4.71</v>
          </cell>
        </row>
        <row r="232">
          <cell r="C232">
            <v>-6</v>
          </cell>
          <cell r="D232">
            <v>0.25</v>
          </cell>
        </row>
        <row r="233">
          <cell r="D233">
            <v>0.4</v>
          </cell>
        </row>
        <row r="234">
          <cell r="D234">
            <v>1</v>
          </cell>
        </row>
        <row r="235">
          <cell r="E235">
            <v>-0.6</v>
          </cell>
        </row>
        <row r="237">
          <cell r="C237">
            <v>1</v>
          </cell>
          <cell r="D237">
            <v>0.83</v>
          </cell>
        </row>
        <row r="238">
          <cell r="D238">
            <v>0.5</v>
          </cell>
        </row>
        <row r="239">
          <cell r="D239">
            <v>0.95</v>
          </cell>
        </row>
        <row r="240">
          <cell r="E240">
            <v>0.39</v>
          </cell>
        </row>
        <row r="241">
          <cell r="C241">
            <v>1</v>
          </cell>
          <cell r="D241">
            <v>0.83</v>
          </cell>
        </row>
        <row r="242">
          <cell r="D242">
            <v>0.5</v>
          </cell>
        </row>
        <row r="243">
          <cell r="D243">
            <v>1</v>
          </cell>
        </row>
        <row r="244">
          <cell r="E244">
            <v>0.42</v>
          </cell>
        </row>
        <row r="246">
          <cell r="C246">
            <v>-2</v>
          </cell>
          <cell r="D246">
            <v>0.3</v>
          </cell>
        </row>
        <row r="247">
          <cell r="D247">
            <v>0.4</v>
          </cell>
        </row>
        <row r="248">
          <cell r="D248">
            <v>1</v>
          </cell>
        </row>
        <row r="249">
          <cell r="E249">
            <v>-0.24</v>
          </cell>
        </row>
        <row r="251">
          <cell r="C251">
            <v>2</v>
          </cell>
          <cell r="D251">
            <v>4.54</v>
          </cell>
        </row>
        <row r="252">
          <cell r="D252">
            <v>0.5</v>
          </cell>
        </row>
        <row r="253">
          <cell r="D253">
            <v>0.98</v>
          </cell>
        </row>
        <row r="254">
          <cell r="E254">
            <v>4.45</v>
          </cell>
        </row>
        <row r="256">
          <cell r="C256">
            <v>1</v>
          </cell>
          <cell r="D256">
            <v>14.34</v>
          </cell>
        </row>
        <row r="257">
          <cell r="D257">
            <v>0.5</v>
          </cell>
        </row>
        <row r="258">
          <cell r="D258">
            <v>1</v>
          </cell>
        </row>
        <row r="259">
          <cell r="E259">
            <v>7.17</v>
          </cell>
        </row>
        <row r="261">
          <cell r="C261">
            <v>1</v>
          </cell>
          <cell r="D261">
            <v>22.42</v>
          </cell>
        </row>
        <row r="262">
          <cell r="D262">
            <v>0.5</v>
          </cell>
        </row>
        <row r="263">
          <cell r="D263">
            <v>0.92</v>
          </cell>
        </row>
        <row r="264">
          <cell r="E264">
            <v>10.31</v>
          </cell>
        </row>
        <row r="265">
          <cell r="A265" t="str">
            <v>B3.1</v>
          </cell>
          <cell r="E265">
            <v>30.85</v>
          </cell>
        </row>
        <row r="267">
          <cell r="B267" t="str">
            <v>3.2 Above GL</v>
          </cell>
        </row>
        <row r="268">
          <cell r="C268">
            <v>1</v>
          </cell>
          <cell r="D268">
            <v>8.65</v>
          </cell>
        </row>
        <row r="269">
          <cell r="D269">
            <v>0.5</v>
          </cell>
        </row>
        <row r="270">
          <cell r="D270">
            <v>0.22</v>
          </cell>
        </row>
        <row r="271">
          <cell r="E271">
            <v>0.95</v>
          </cell>
        </row>
        <row r="272">
          <cell r="C272">
            <v>1</v>
          </cell>
          <cell r="D272">
            <v>8.65</v>
          </cell>
        </row>
        <row r="273">
          <cell r="D273">
            <v>0.5</v>
          </cell>
        </row>
        <row r="274">
          <cell r="D274">
            <v>0.11</v>
          </cell>
        </row>
        <row r="275">
          <cell r="E275">
            <v>0.48</v>
          </cell>
        </row>
        <row r="276">
          <cell r="C276">
            <v>-6</v>
          </cell>
          <cell r="D276">
            <v>0.25</v>
          </cell>
        </row>
        <row r="277">
          <cell r="D277">
            <v>0.4</v>
          </cell>
        </row>
        <row r="278">
          <cell r="D278">
            <v>0.16500000000000001</v>
          </cell>
        </row>
        <row r="279">
          <cell r="E279">
            <v>-0.1</v>
          </cell>
        </row>
        <row r="281">
          <cell r="C281">
            <v>1</v>
          </cell>
          <cell r="D281">
            <v>0.83</v>
          </cell>
        </row>
        <row r="282">
          <cell r="D282">
            <v>0.5</v>
          </cell>
        </row>
        <row r="283">
          <cell r="D283">
            <v>0.05</v>
          </cell>
        </row>
        <row r="284">
          <cell r="E284">
            <v>0.02</v>
          </cell>
        </row>
        <row r="287">
          <cell r="C287">
            <v>2</v>
          </cell>
          <cell r="D287">
            <v>4.54</v>
          </cell>
        </row>
        <row r="288">
          <cell r="D288">
            <v>0.5</v>
          </cell>
        </row>
        <row r="289">
          <cell r="D289">
            <v>0.02</v>
          </cell>
        </row>
        <row r="290">
          <cell r="E290">
            <v>0.09</v>
          </cell>
        </row>
        <row r="293">
          <cell r="C293">
            <v>1</v>
          </cell>
          <cell r="D293">
            <v>22.42</v>
          </cell>
        </row>
        <row r="294">
          <cell r="D294">
            <v>0.5</v>
          </cell>
        </row>
        <row r="295">
          <cell r="D295">
            <v>0.28000000000000003</v>
          </cell>
        </row>
        <row r="296">
          <cell r="E296">
            <v>3.14</v>
          </cell>
        </row>
        <row r="297">
          <cell r="A297" t="str">
            <v>B3.2</v>
          </cell>
          <cell r="E297">
            <v>4.58</v>
          </cell>
        </row>
        <row r="298">
          <cell r="E298" t="str">
            <v/>
          </cell>
        </row>
      </sheetData>
      <sheetData sheetId="1"/>
      <sheetData sheetId="2"/>
      <sheetData sheetId="3">
        <row r="1">
          <cell r="B1" t="str">
            <v>Final Residence</v>
          </cell>
        </row>
      </sheetData>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2 300kp Res. Sup S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ebar. C "/>
      <sheetName val="Block A Rebar"/>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2 for above 3rd floo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ructure BC = 200"/>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 -1  sub R-bar for 200Kpa "/>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unal sub r-ba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nalysi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r &amp; St"/>
      <sheetName val="Block Summary"/>
      <sheetName val="Summary 05"/>
      <sheetName val="05 Sub Structure BC = 200"/>
      <sheetName val=" E2 Res (EXC&amp;MAS200kp) "/>
      <sheetName val=" E2 Res TAKOFF(con sub200kp)"/>
      <sheetName val=" TAKE OFF(form sub 200kp)"/>
      <sheetName val="E2 Res TAKE OFF(ref bar 200 kp)"/>
      <sheetName val=" TAKE OFF(con super 300kp)"/>
      <sheetName val=" TAKE OFF(form super 300kp)"/>
      <sheetName val="E2 Res TAKE OFF(ref sup 300 )"/>
      <sheetName val="E-2 Block work"/>
      <sheetName val="E-2 Plate Qty "/>
    </sheetNames>
    <sheetDataSet>
      <sheetData sheetId="0" refreshError="1">
        <row r="7">
          <cell r="H7" t="str">
            <v>Previous Qty</v>
          </cell>
        </row>
        <row r="39">
          <cell r="H39">
            <v>0</v>
          </cell>
        </row>
        <row r="48">
          <cell r="H48">
            <v>0</v>
          </cell>
        </row>
      </sheetData>
      <sheetData sheetId="1"/>
      <sheetData sheetId="2"/>
      <sheetData sheetId="3"/>
      <sheetData sheetId="4"/>
      <sheetData sheetId="5"/>
      <sheetData sheetId="6"/>
      <sheetData sheetId="7">
        <row r="7">
          <cell r="H7" t="str">
            <v>Previous Qty</v>
          </cell>
        </row>
      </sheetData>
      <sheetData sheetId="8"/>
      <sheetData sheetId="9"/>
      <sheetData sheetId="10"/>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ST"/>
      <sheetName val="SUPER ST"/>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A-2 300kp Shop Sup St."/>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 RB A-2 300kp Shop Sub St."/>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 Ar &amp; St"/>
      <sheetName val="E-1Justification"/>
      <sheetName val="Pay-Cirteficate"/>
      <sheetName val="08 Summary"/>
      <sheetName val="truss"/>
      <sheetName val=" Latice Purlin "/>
    </sheetNames>
    <sheetDataSet>
      <sheetData sheetId="0" refreshError="1">
        <row r="23">
          <cell r="M23">
            <v>48628.979999999996</v>
          </cell>
        </row>
      </sheetData>
      <sheetData sheetId="1"/>
      <sheetData sheetId="2"/>
      <sheetData sheetId="3">
        <row r="23">
          <cell r="M23">
            <v>48628.979999999996</v>
          </cell>
        </row>
      </sheetData>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 E-1 300kp SHOP. Sub St."/>
      <sheetName val="Block Summary"/>
      <sheetName val="Summary"/>
      <sheetName val="Sub Structure BC = 300"/>
      <sheetName val="Ar &amp; St"/>
      <sheetName val="E-1 300kp SHOP. Sub St."/>
      <sheetName val="E-1-300 Kpa"/>
      <sheetName val="masonary data "/>
      <sheetName val="E-1 300kp  Sup St."/>
      <sheetName val="RB E-1 300kp Res. Super St."/>
    </sheetNames>
    <sheetDataSet>
      <sheetData sheetId="0" refreshError="1">
        <row r="4">
          <cell r="D4" t="str">
            <v>Dia</v>
          </cell>
        </row>
        <row r="8">
          <cell r="D8">
            <v>14</v>
          </cell>
        </row>
        <row r="9">
          <cell r="D9">
            <v>8</v>
          </cell>
        </row>
        <row r="10">
          <cell r="D10">
            <v>14</v>
          </cell>
        </row>
        <row r="11">
          <cell r="D11">
            <v>8</v>
          </cell>
        </row>
        <row r="12">
          <cell r="D12">
            <v>12</v>
          </cell>
        </row>
        <row r="13">
          <cell r="D13">
            <v>8</v>
          </cell>
        </row>
        <row r="14">
          <cell r="D14">
            <v>12</v>
          </cell>
        </row>
        <row r="15">
          <cell r="D15">
            <v>8</v>
          </cell>
        </row>
        <row r="18">
          <cell r="D18">
            <v>16</v>
          </cell>
        </row>
        <row r="19">
          <cell r="D19">
            <v>8</v>
          </cell>
        </row>
        <row r="20">
          <cell r="D20">
            <v>20</v>
          </cell>
        </row>
        <row r="21">
          <cell r="D21">
            <v>8</v>
          </cell>
        </row>
        <row r="22">
          <cell r="D22">
            <v>20</v>
          </cell>
        </row>
        <row r="23">
          <cell r="D23">
            <v>8</v>
          </cell>
        </row>
        <row r="24">
          <cell r="D24">
            <v>16</v>
          </cell>
        </row>
        <row r="25">
          <cell r="D25">
            <v>8</v>
          </cell>
        </row>
        <row r="26">
          <cell r="D26">
            <v>16</v>
          </cell>
        </row>
        <row r="27">
          <cell r="D27">
            <v>8</v>
          </cell>
        </row>
        <row r="28">
          <cell r="D28">
            <v>20</v>
          </cell>
        </row>
        <row r="29">
          <cell r="D29">
            <v>8</v>
          </cell>
        </row>
        <row r="30">
          <cell r="D30">
            <v>20</v>
          </cell>
        </row>
        <row r="31">
          <cell r="D31">
            <v>8</v>
          </cell>
        </row>
        <row r="32">
          <cell r="D32">
            <v>16</v>
          </cell>
        </row>
        <row r="33">
          <cell r="D33">
            <v>8</v>
          </cell>
        </row>
        <row r="34">
          <cell r="D34">
            <v>16</v>
          </cell>
        </row>
        <row r="35">
          <cell r="D35">
            <v>8</v>
          </cell>
        </row>
        <row r="36">
          <cell r="D36">
            <v>20</v>
          </cell>
        </row>
        <row r="37">
          <cell r="D37">
            <v>8</v>
          </cell>
        </row>
        <row r="38">
          <cell r="D38">
            <v>20</v>
          </cell>
        </row>
        <row r="39">
          <cell r="D39">
            <v>8</v>
          </cell>
        </row>
        <row r="40">
          <cell r="D40">
            <v>20</v>
          </cell>
        </row>
        <row r="41">
          <cell r="D41">
            <v>8</v>
          </cell>
        </row>
        <row r="42">
          <cell r="D42">
            <v>20</v>
          </cell>
        </row>
        <row r="43">
          <cell r="D43">
            <v>8</v>
          </cell>
        </row>
        <row r="44">
          <cell r="D44">
            <v>20</v>
          </cell>
        </row>
        <row r="45">
          <cell r="D45">
            <v>8</v>
          </cell>
        </row>
        <row r="46">
          <cell r="D46">
            <v>20</v>
          </cell>
        </row>
        <row r="47">
          <cell r="D47">
            <v>8</v>
          </cell>
        </row>
        <row r="48">
          <cell r="D48">
            <v>16</v>
          </cell>
        </row>
        <row r="49">
          <cell r="D49">
            <v>8</v>
          </cell>
        </row>
        <row r="50">
          <cell r="D50">
            <v>16</v>
          </cell>
        </row>
        <row r="51">
          <cell r="D51">
            <v>8</v>
          </cell>
        </row>
        <row r="52">
          <cell r="D52">
            <v>20</v>
          </cell>
        </row>
        <row r="53">
          <cell r="D53">
            <v>8</v>
          </cell>
        </row>
        <row r="54">
          <cell r="D54">
            <v>20</v>
          </cell>
        </row>
        <row r="55">
          <cell r="D55">
            <v>8</v>
          </cell>
        </row>
        <row r="56">
          <cell r="D56">
            <v>16</v>
          </cell>
        </row>
        <row r="57">
          <cell r="D57">
            <v>8</v>
          </cell>
        </row>
        <row r="58">
          <cell r="D58">
            <v>16</v>
          </cell>
        </row>
        <row r="59">
          <cell r="D59">
            <v>8</v>
          </cell>
        </row>
        <row r="60">
          <cell r="D60">
            <v>20</v>
          </cell>
        </row>
        <row r="61">
          <cell r="D61">
            <v>8</v>
          </cell>
        </row>
        <row r="62">
          <cell r="D62">
            <v>20</v>
          </cell>
        </row>
        <row r="63">
          <cell r="D63">
            <v>8</v>
          </cell>
        </row>
        <row r="64">
          <cell r="D64">
            <v>16</v>
          </cell>
        </row>
        <row r="65">
          <cell r="D65">
            <v>8</v>
          </cell>
        </row>
        <row r="68">
          <cell r="D68">
            <v>14</v>
          </cell>
        </row>
        <row r="69">
          <cell r="D69">
            <v>14</v>
          </cell>
        </row>
        <row r="70">
          <cell r="D70">
            <v>12</v>
          </cell>
        </row>
        <row r="71">
          <cell r="D71">
            <v>12</v>
          </cell>
        </row>
        <row r="72">
          <cell r="D72">
            <v>14</v>
          </cell>
        </row>
        <row r="73">
          <cell r="D73">
            <v>8</v>
          </cell>
        </row>
        <row r="74">
          <cell r="D74">
            <v>14</v>
          </cell>
        </row>
        <row r="75">
          <cell r="D75">
            <v>14</v>
          </cell>
        </row>
        <row r="76">
          <cell r="D76">
            <v>12</v>
          </cell>
        </row>
        <row r="77">
          <cell r="D77">
            <v>12</v>
          </cell>
        </row>
        <row r="78">
          <cell r="D78">
            <v>8</v>
          </cell>
        </row>
        <row r="79">
          <cell r="D79">
            <v>14</v>
          </cell>
        </row>
        <row r="80">
          <cell r="D80">
            <v>12</v>
          </cell>
        </row>
        <row r="81">
          <cell r="D81">
            <v>8</v>
          </cell>
        </row>
        <row r="82">
          <cell r="D82">
            <v>14</v>
          </cell>
        </row>
        <row r="83">
          <cell r="D83">
            <v>12</v>
          </cell>
        </row>
        <row r="84">
          <cell r="D84">
            <v>8</v>
          </cell>
        </row>
        <row r="85">
          <cell r="D85">
            <v>14</v>
          </cell>
        </row>
        <row r="86">
          <cell r="D86">
            <v>12</v>
          </cell>
        </row>
        <row r="87">
          <cell r="D87">
            <v>8</v>
          </cell>
        </row>
        <row r="88">
          <cell r="D88">
            <v>14</v>
          </cell>
        </row>
        <row r="89">
          <cell r="D89">
            <v>12</v>
          </cell>
        </row>
        <row r="90">
          <cell r="D90">
            <v>8</v>
          </cell>
        </row>
        <row r="91">
          <cell r="D91">
            <v>14</v>
          </cell>
        </row>
        <row r="92">
          <cell r="D92">
            <v>12</v>
          </cell>
        </row>
        <row r="93">
          <cell r="D93">
            <v>8</v>
          </cell>
        </row>
        <row r="95">
          <cell r="D95">
            <v>6</v>
          </cell>
        </row>
        <row r="96">
          <cell r="D96">
            <v>6</v>
          </cell>
        </row>
        <row r="97">
          <cell r="D97">
            <v>6</v>
          </cell>
        </row>
        <row r="98">
          <cell r="D98">
            <v>6</v>
          </cell>
        </row>
        <row r="99">
          <cell r="D99">
            <v>6</v>
          </cell>
        </row>
        <row r="100">
          <cell r="D100">
            <v>6</v>
          </cell>
        </row>
        <row r="101">
          <cell r="D101">
            <v>6</v>
          </cell>
        </row>
        <row r="102">
          <cell r="D102">
            <v>6</v>
          </cell>
        </row>
        <row r="103">
          <cell r="D103">
            <v>6</v>
          </cell>
        </row>
        <row r="104">
          <cell r="D104">
            <v>6</v>
          </cell>
        </row>
        <row r="105">
          <cell r="D105">
            <v>6</v>
          </cell>
        </row>
        <row r="106">
          <cell r="D106">
            <v>6</v>
          </cell>
        </row>
        <row r="107">
          <cell r="D107">
            <v>6</v>
          </cell>
        </row>
        <row r="108">
          <cell r="D108">
            <v>6</v>
          </cell>
        </row>
        <row r="109">
          <cell r="D109">
            <v>6</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mon Weldu A2,E1-FevV"/>
      <sheetName val="BEREKET YEMANE-A2,E1-HENOKX"/>
      <sheetName val="SISAY GMARIAM,A2,A2-HENOKX"/>
      <sheetName val="YOKA CONS. A2,E1-YESHITILAX"/>
      <sheetName val="Tesfu Beyen- A2,E1-Fev X"/>
      <sheetName val="Sisay Tedla b.c.- A2,E1-FevX "/>
      <sheetName val="Wendwessen- A2,A1-fevenV "/>
      <sheetName val="Teshale Asrat- E2,E1-YeteshaX"/>
      <sheetName val="Adot con.- A2,E1-YeteshaX"/>
      <sheetName val="Eshetu Yirdaw bc.-A2,E1-TsedeyV"/>
      <sheetName val="Amha Wegayehu- E2,E1-Tsedey"/>
      <sheetName val="Sara B.c.- A2,E1-TsedeyV"/>
      <sheetName val="Seid Abdela-A2,E1-TsedeyV"/>
      <sheetName val="kinfe hailu,e1,a2(dagne)X"/>
      <sheetName val="mathios teshome E1,E2 (dagne)X"/>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 to 08 Ar &amp; St"/>
      <sheetName val="05 Block Summary"/>
      <sheetName val="05 Summary"/>
      <sheetName val="05 Sub Structure BC = 300"/>
      <sheetName val="06 to 08 A-2 300kp Res. Sub St."/>
      <sheetName val="05 RB A-2 300kp Res. Sub St."/>
      <sheetName val="05 A-2 300kp Res. Sup St."/>
      <sheetName val="05 RB A-2 300kp Res. Super St."/>
      <sheetName val="A-2 blcok work Res."/>
      <sheetName val="Structural Steel Works"/>
      <sheetName val="Block C take off"/>
    </sheetNames>
    <sheetDataSet>
      <sheetData sheetId="0" refreshError="1">
        <row r="2">
          <cell r="E2" t="str">
            <v>PROJECT:</v>
          </cell>
        </row>
        <row r="69">
          <cell r="M69">
            <v>6342</v>
          </cell>
        </row>
      </sheetData>
      <sheetData sheetId="1" refreshError="1"/>
      <sheetData sheetId="2">
        <row r="2">
          <cell r="E2" t="str">
            <v>PROJECT:</v>
          </cell>
        </row>
      </sheetData>
      <sheetData sheetId="3">
        <row r="2">
          <cell r="E2" t="str">
            <v>PROJECT:</v>
          </cell>
        </row>
      </sheetData>
      <sheetData sheetId="4" refreshError="1"/>
      <sheetData sheetId="5">
        <row r="2">
          <cell r="E2" t="str">
            <v>PROJECT:</v>
          </cell>
        </row>
      </sheetData>
      <sheetData sheetId="6" refreshError="1"/>
      <sheetData sheetId="7" refreshError="1"/>
      <sheetData sheetId="8">
        <row r="1">
          <cell r="B1" t="str">
            <v>Project: Low Cost Housing Development Project</v>
          </cell>
        </row>
      </sheetData>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S and Lattice purline A-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s of Quantities"/>
      <sheetName val="Dayworks Bill"/>
      <sheetName val="Summary of Contract"/>
      <sheetName val="specification"/>
      <sheetName val="Sheet1"/>
      <sheetName val="1300"/>
      <sheetName val="MOTOR"/>
      <sheetName val="Sheet4"/>
      <sheetName val="Cash Flow"/>
      <sheetName val="G+4"/>
      <sheetName val="06 to 08 Ar &amp; St"/>
      <sheetName val="자압"/>
      <sheetName val="RB E-1 300kp SHOP. Sub St."/>
      <sheetName val="Design calc"/>
      <sheetName val="Equipment"/>
      <sheetName val="Material"/>
      <sheetName val="Rates"/>
    </sheetNames>
    <sheetDataSet>
      <sheetData sheetId="0" refreshError="1">
        <row r="17">
          <cell r="O17">
            <v>327.05</v>
          </cell>
        </row>
        <row r="30">
          <cell r="O30">
            <v>13065</v>
          </cell>
        </row>
        <row r="89">
          <cell r="O89">
            <v>77233.5</v>
          </cell>
        </row>
        <row r="126">
          <cell r="O126">
            <v>363006.8</v>
          </cell>
        </row>
        <row r="151">
          <cell r="O151">
            <v>11442</v>
          </cell>
        </row>
        <row r="201">
          <cell r="O201">
            <v>11134045</v>
          </cell>
        </row>
      </sheetData>
      <sheetData sheetId="1"/>
      <sheetData sheetId="2" refreshError="1"/>
      <sheetData sheetId="3">
        <row r="17">
          <cell r="O17">
            <v>327.05</v>
          </cell>
        </row>
      </sheetData>
      <sheetData sheetId="4">
        <row r="17">
          <cell r="O17">
            <v>327.05</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dows and Do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 -1  sub R-bar for 200Kpa "/>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amp; St"/>
      <sheetName val="E-1 200kp  Sup St."/>
      <sheetName val="Block Summary"/>
      <sheetName val="Summary"/>
      <sheetName val="Sub Structure BC = 200"/>
      <sheetName val="E-1 200kp Res. Sub St."/>
      <sheetName val="Excavation data"/>
      <sheetName val="E1 trench &amp; masonary "/>
      <sheetName val="RB E-1 200kp Res. Sub St."/>
      <sheetName val="RB E-1 200kp Res. Super St."/>
      <sheetName val="E-1 Block Work Residence"/>
      <sheetName val="Roofing"/>
      <sheetName val="E-1 Plate Qty old drwg"/>
      <sheetName val="Truss"/>
      <sheetName val="Latice Purlin "/>
      <sheetName val="Plastering for Res."/>
      <sheetName val="E-1 Plate Qty NEW DRWG"/>
      <sheetName val="Truss old drwg"/>
      <sheetName val="Truss new drwg"/>
      <sheetName val="Latice Purlin  Old drwg"/>
      <sheetName val=" Latice Pulin new drwg "/>
    </sheetNames>
    <sheetDataSet>
      <sheetData sheetId="0" refreshError="1">
        <row r="46">
          <cell r="M46">
            <v>197069.65000000002</v>
          </cell>
        </row>
      </sheetData>
      <sheetData sheetId="1" refreshError="1">
        <row r="1">
          <cell r="B1" t="str">
            <v>Project: Low Cost Housing Development Project</v>
          </cell>
        </row>
        <row r="2">
          <cell r="B2" t="str">
            <v>Location: Jemmo II</v>
          </cell>
        </row>
        <row r="3">
          <cell r="B3" t="str">
            <v>Client: Nifasilk Lafto Sub-City</v>
          </cell>
        </row>
        <row r="4">
          <cell r="B4" t="str">
            <v>Contractor: BEHAILU YESEGATE B.C</v>
          </cell>
        </row>
        <row r="5">
          <cell r="B5" t="str">
            <v>Consultant: MGM Consult PLC</v>
          </cell>
        </row>
        <row r="6">
          <cell r="A6" t="str">
            <v>Code</v>
          </cell>
          <cell r="B6" t="str">
            <v>Timizing</v>
          </cell>
          <cell r="E6" t="str">
            <v>Dimension</v>
          </cell>
          <cell r="F6" t="str">
            <v>Qty</v>
          </cell>
        </row>
        <row r="13">
          <cell r="B13">
            <v>1</v>
          </cell>
          <cell r="C13">
            <v>1</v>
          </cell>
          <cell r="D13">
            <v>18</v>
          </cell>
          <cell r="E13">
            <v>0.25</v>
          </cell>
        </row>
        <row r="14">
          <cell r="E14">
            <v>0.4</v>
          </cell>
        </row>
        <row r="15">
          <cell r="E15">
            <v>2.4</v>
          </cell>
        </row>
        <row r="16">
          <cell r="F16">
            <v>4.32</v>
          </cell>
        </row>
        <row r="17">
          <cell r="B17">
            <v>1</v>
          </cell>
          <cell r="C17">
            <v>1</v>
          </cell>
          <cell r="D17">
            <v>6</v>
          </cell>
          <cell r="E17">
            <v>0.3</v>
          </cell>
        </row>
        <row r="18">
          <cell r="E18">
            <v>0.4</v>
          </cell>
        </row>
        <row r="19">
          <cell r="E19">
            <v>2.4</v>
          </cell>
        </row>
        <row r="20">
          <cell r="F20">
            <v>1.73</v>
          </cell>
        </row>
        <row r="22">
          <cell r="B22">
            <v>1</v>
          </cell>
          <cell r="C22">
            <v>3</v>
          </cell>
          <cell r="D22">
            <v>24</v>
          </cell>
          <cell r="E22">
            <v>0.25</v>
          </cell>
        </row>
        <row r="23">
          <cell r="E23">
            <v>0.4</v>
          </cell>
        </row>
        <row r="24">
          <cell r="E24">
            <v>2.4</v>
          </cell>
        </row>
        <row r="25">
          <cell r="F25">
            <v>17.28</v>
          </cell>
        </row>
        <row r="27">
          <cell r="B27">
            <v>1</v>
          </cell>
          <cell r="C27">
            <v>1</v>
          </cell>
          <cell r="D27">
            <v>24</v>
          </cell>
          <cell r="E27">
            <v>0.25</v>
          </cell>
        </row>
        <row r="28">
          <cell r="E28">
            <v>0.4</v>
          </cell>
        </row>
        <row r="29">
          <cell r="E29">
            <v>2.58</v>
          </cell>
        </row>
        <row r="30">
          <cell r="F30">
            <v>6.19</v>
          </cell>
        </row>
        <row r="31">
          <cell r="A31" t="str">
            <v>C1.1a</v>
          </cell>
          <cell r="F31">
            <v>29.520000000000003</v>
          </cell>
        </row>
        <row r="35">
          <cell r="B35">
            <v>1</v>
          </cell>
          <cell r="C35">
            <v>4</v>
          </cell>
          <cell r="D35">
            <v>4</v>
          </cell>
          <cell r="E35">
            <v>8.1999999999999993</v>
          </cell>
        </row>
        <row r="36">
          <cell r="E36">
            <v>0.2</v>
          </cell>
        </row>
        <row r="37">
          <cell r="E37">
            <v>0.48</v>
          </cell>
        </row>
        <row r="38">
          <cell r="F38">
            <v>12.6</v>
          </cell>
        </row>
        <row r="39">
          <cell r="B39">
            <v>1</v>
          </cell>
          <cell r="C39">
            <v>4</v>
          </cell>
          <cell r="D39">
            <v>4</v>
          </cell>
          <cell r="E39">
            <v>9.5300000000000011</v>
          </cell>
        </row>
        <row r="40">
          <cell r="E40">
            <v>0.2</v>
          </cell>
        </row>
        <row r="41">
          <cell r="E41">
            <v>0.48</v>
          </cell>
        </row>
        <row r="42">
          <cell r="F42">
            <v>14.64</v>
          </cell>
        </row>
        <row r="43">
          <cell r="B43">
            <v>1</v>
          </cell>
          <cell r="C43">
            <v>4</v>
          </cell>
          <cell r="D43">
            <v>2</v>
          </cell>
          <cell r="E43">
            <v>30.520000000000003</v>
          </cell>
        </row>
        <row r="44">
          <cell r="E44">
            <v>0.2</v>
          </cell>
        </row>
        <row r="45">
          <cell r="E45">
            <v>0.48</v>
          </cell>
        </row>
        <row r="46">
          <cell r="F46">
            <v>23.44</v>
          </cell>
        </row>
        <row r="47">
          <cell r="B47">
            <v>1</v>
          </cell>
          <cell r="C47">
            <v>4</v>
          </cell>
          <cell r="D47">
            <v>2</v>
          </cell>
          <cell r="E47">
            <v>3.84</v>
          </cell>
        </row>
        <row r="48">
          <cell r="E48">
            <v>0.2</v>
          </cell>
        </row>
        <row r="49">
          <cell r="E49">
            <v>0.48</v>
          </cell>
        </row>
        <row r="50">
          <cell r="F50">
            <v>2.95</v>
          </cell>
        </row>
        <row r="51">
          <cell r="B51">
            <v>1</v>
          </cell>
          <cell r="C51">
            <v>4</v>
          </cell>
          <cell r="D51">
            <v>1</v>
          </cell>
          <cell r="E51">
            <v>9.6999999999999993</v>
          </cell>
        </row>
        <row r="52">
          <cell r="E52">
            <v>0.2</v>
          </cell>
        </row>
        <row r="53">
          <cell r="E53">
            <v>0.48</v>
          </cell>
        </row>
        <row r="54">
          <cell r="F54">
            <v>3.72</v>
          </cell>
        </row>
        <row r="55">
          <cell r="B55">
            <v>1</v>
          </cell>
          <cell r="C55">
            <v>4</v>
          </cell>
          <cell r="D55">
            <v>1</v>
          </cell>
          <cell r="E55">
            <v>3.79</v>
          </cell>
        </row>
        <row r="56">
          <cell r="E56">
            <v>0.2</v>
          </cell>
        </row>
        <row r="57">
          <cell r="E57">
            <v>0.4</v>
          </cell>
        </row>
        <row r="58">
          <cell r="F58">
            <v>1.21</v>
          </cell>
        </row>
        <row r="60">
          <cell r="B60">
            <v>1</v>
          </cell>
          <cell r="C60">
            <v>1</v>
          </cell>
          <cell r="D60">
            <v>18</v>
          </cell>
          <cell r="E60">
            <v>0.25</v>
          </cell>
        </row>
        <row r="61">
          <cell r="E61">
            <v>0.4</v>
          </cell>
        </row>
        <row r="62">
          <cell r="E62">
            <v>0.48</v>
          </cell>
        </row>
        <row r="63">
          <cell r="F63">
            <v>0.86</v>
          </cell>
        </row>
        <row r="64">
          <cell r="B64">
            <v>1</v>
          </cell>
          <cell r="C64">
            <v>1</v>
          </cell>
          <cell r="D64">
            <v>6</v>
          </cell>
          <cell r="E64">
            <v>0.3</v>
          </cell>
        </row>
        <row r="65">
          <cell r="E65">
            <v>0.4</v>
          </cell>
        </row>
        <row r="66">
          <cell r="E66">
            <v>0.48</v>
          </cell>
        </row>
        <row r="67">
          <cell r="F67">
            <v>0.35</v>
          </cell>
        </row>
        <row r="69">
          <cell r="B69">
            <v>1</v>
          </cell>
          <cell r="C69">
            <v>3</v>
          </cell>
          <cell r="D69">
            <v>24</v>
          </cell>
          <cell r="E69">
            <v>0.25</v>
          </cell>
        </row>
        <row r="70">
          <cell r="E70">
            <v>0.4</v>
          </cell>
        </row>
        <row r="71">
          <cell r="E71">
            <v>0.48</v>
          </cell>
        </row>
        <row r="72">
          <cell r="F72">
            <v>3.46</v>
          </cell>
        </row>
        <row r="74">
          <cell r="B74">
            <v>1</v>
          </cell>
          <cell r="C74">
            <v>1</v>
          </cell>
          <cell r="D74">
            <v>4</v>
          </cell>
          <cell r="E74">
            <v>8.1999999999999993</v>
          </cell>
        </row>
        <row r="75">
          <cell r="E75">
            <v>0.2</v>
          </cell>
        </row>
        <row r="76">
          <cell r="E76">
            <v>0.3</v>
          </cell>
        </row>
        <row r="77">
          <cell r="F77">
            <v>1.97</v>
          </cell>
        </row>
        <row r="78">
          <cell r="B78">
            <v>1</v>
          </cell>
          <cell r="C78">
            <v>1</v>
          </cell>
          <cell r="D78">
            <v>4</v>
          </cell>
          <cell r="E78">
            <v>9.5300000000000011</v>
          </cell>
        </row>
        <row r="79">
          <cell r="E79">
            <v>0.2</v>
          </cell>
        </row>
        <row r="80">
          <cell r="E80">
            <v>0.3</v>
          </cell>
        </row>
        <row r="81">
          <cell r="F81">
            <v>2.29</v>
          </cell>
        </row>
        <row r="82">
          <cell r="B82">
            <v>1</v>
          </cell>
          <cell r="C82">
            <v>1</v>
          </cell>
          <cell r="D82">
            <v>2</v>
          </cell>
          <cell r="E82">
            <v>5</v>
          </cell>
        </row>
        <row r="83">
          <cell r="E83">
            <v>0.2</v>
          </cell>
        </row>
        <row r="84">
          <cell r="E84">
            <v>0.3</v>
          </cell>
        </row>
        <row r="85">
          <cell r="F85">
            <v>0.6</v>
          </cell>
        </row>
        <row r="86">
          <cell r="B86">
            <v>1</v>
          </cell>
          <cell r="C86">
            <v>1</v>
          </cell>
          <cell r="D86">
            <v>1</v>
          </cell>
          <cell r="E86">
            <v>9.6999999999999993</v>
          </cell>
        </row>
        <row r="87">
          <cell r="E87">
            <v>0.2</v>
          </cell>
        </row>
        <row r="88">
          <cell r="E88">
            <v>0.3</v>
          </cell>
        </row>
        <row r="89">
          <cell r="F89">
            <v>0.57999999999999996</v>
          </cell>
        </row>
        <row r="90">
          <cell r="B90">
            <v>1</v>
          </cell>
          <cell r="C90">
            <v>1</v>
          </cell>
          <cell r="D90">
            <v>1</v>
          </cell>
          <cell r="E90">
            <v>20.92</v>
          </cell>
        </row>
        <row r="91">
          <cell r="E91">
            <v>0.2</v>
          </cell>
        </row>
        <row r="92">
          <cell r="E92">
            <v>0.3</v>
          </cell>
        </row>
        <row r="93">
          <cell r="F93">
            <v>1.26</v>
          </cell>
        </row>
        <row r="94">
          <cell r="B94">
            <v>1</v>
          </cell>
          <cell r="C94">
            <v>1</v>
          </cell>
          <cell r="D94">
            <v>1</v>
          </cell>
          <cell r="E94">
            <v>3.84</v>
          </cell>
        </row>
        <row r="95">
          <cell r="E95">
            <v>0.2</v>
          </cell>
        </row>
        <row r="96">
          <cell r="E96">
            <v>0.3</v>
          </cell>
        </row>
        <row r="98">
          <cell r="B98">
            <v>1</v>
          </cell>
          <cell r="C98">
            <v>1</v>
          </cell>
          <cell r="D98">
            <v>1</v>
          </cell>
          <cell r="E98">
            <v>9.6</v>
          </cell>
        </row>
        <row r="99">
          <cell r="E99">
            <v>0.2</v>
          </cell>
        </row>
        <row r="100">
          <cell r="E100">
            <v>0.3</v>
          </cell>
        </row>
        <row r="101">
          <cell r="F101">
            <v>0.57999999999999996</v>
          </cell>
        </row>
        <row r="102">
          <cell r="B102">
            <v>1</v>
          </cell>
          <cell r="C102">
            <v>1</v>
          </cell>
          <cell r="D102">
            <v>1</v>
          </cell>
          <cell r="E102">
            <v>17.38</v>
          </cell>
        </row>
        <row r="103">
          <cell r="E103">
            <v>0.2</v>
          </cell>
        </row>
        <row r="104">
          <cell r="E104">
            <v>0.3</v>
          </cell>
        </row>
        <row r="105">
          <cell r="F105">
            <v>1.04</v>
          </cell>
        </row>
        <row r="106">
          <cell r="B106">
            <v>1</v>
          </cell>
          <cell r="C106">
            <v>1</v>
          </cell>
          <cell r="D106">
            <v>1</v>
          </cell>
          <cell r="E106">
            <v>30.520000000000003</v>
          </cell>
        </row>
        <row r="107">
          <cell r="E107">
            <v>0.2</v>
          </cell>
        </row>
        <row r="108">
          <cell r="E108">
            <v>0.3</v>
          </cell>
        </row>
        <row r="109">
          <cell r="F109">
            <v>1.83</v>
          </cell>
        </row>
        <row r="111">
          <cell r="B111">
            <v>1</v>
          </cell>
          <cell r="C111">
            <v>1</v>
          </cell>
          <cell r="D111">
            <v>24</v>
          </cell>
          <cell r="E111">
            <v>0.25</v>
          </cell>
        </row>
        <row r="112">
          <cell r="E112">
            <v>0.4</v>
          </cell>
        </row>
        <row r="113">
          <cell r="E113">
            <v>0.3</v>
          </cell>
        </row>
        <row r="114">
          <cell r="F114">
            <v>0.72</v>
          </cell>
        </row>
        <row r="115">
          <cell r="A115" t="str">
            <v>C1.1b</v>
          </cell>
          <cell r="F115">
            <v>74.099999999999994</v>
          </cell>
        </row>
        <row r="117">
          <cell r="B117">
            <v>1</v>
          </cell>
          <cell r="C117">
            <v>1</v>
          </cell>
          <cell r="D117">
            <v>1</v>
          </cell>
          <cell r="E117">
            <v>2.8795000000000002</v>
          </cell>
        </row>
        <row r="118">
          <cell r="E118">
            <v>1.35</v>
          </cell>
        </row>
        <row r="119">
          <cell r="E119">
            <v>0.15</v>
          </cell>
        </row>
        <row r="120">
          <cell r="F120">
            <v>0.57999999999999996</v>
          </cell>
        </row>
        <row r="121">
          <cell r="B121">
            <v>1</v>
          </cell>
          <cell r="C121">
            <v>1</v>
          </cell>
          <cell r="D121">
            <v>4</v>
          </cell>
          <cell r="E121">
            <v>3.1139999999999999</v>
          </cell>
        </row>
        <row r="122">
          <cell r="E122">
            <v>1.35</v>
          </cell>
        </row>
        <row r="123">
          <cell r="E123">
            <v>0.15</v>
          </cell>
        </row>
        <row r="124">
          <cell r="F124">
            <v>2.52</v>
          </cell>
        </row>
        <row r="125">
          <cell r="B125">
            <v>1</v>
          </cell>
          <cell r="C125">
            <v>1</v>
          </cell>
          <cell r="D125">
            <v>3</v>
          </cell>
          <cell r="E125">
            <v>3.044</v>
          </cell>
        </row>
        <row r="126">
          <cell r="E126">
            <v>1.35</v>
          </cell>
        </row>
        <row r="127">
          <cell r="E127">
            <v>0.15</v>
          </cell>
        </row>
        <row r="128">
          <cell r="F128">
            <v>1.85</v>
          </cell>
        </row>
        <row r="129">
          <cell r="B129">
            <v>1</v>
          </cell>
          <cell r="C129">
            <v>9</v>
          </cell>
          <cell r="D129">
            <v>8</v>
          </cell>
          <cell r="E129">
            <v>0.3</v>
          </cell>
        </row>
        <row r="130">
          <cell r="E130">
            <v>1.35</v>
          </cell>
        </row>
        <row r="131">
          <cell r="E131">
            <v>0.16</v>
          </cell>
        </row>
        <row r="132">
          <cell r="E132">
            <v>0.5</v>
          </cell>
        </row>
        <row r="133">
          <cell r="F133">
            <v>2.33</v>
          </cell>
        </row>
        <row r="134">
          <cell r="B134">
            <v>1</v>
          </cell>
          <cell r="C134">
            <v>1</v>
          </cell>
          <cell r="D134">
            <v>4</v>
          </cell>
          <cell r="E134">
            <v>3.84</v>
          </cell>
        </row>
        <row r="135">
          <cell r="E135">
            <v>0.81499999999999995</v>
          </cell>
        </row>
        <row r="136">
          <cell r="E136">
            <v>0.15</v>
          </cell>
        </row>
        <row r="137">
          <cell r="F137">
            <v>1.88</v>
          </cell>
        </row>
        <row r="138">
          <cell r="B138">
            <v>1</v>
          </cell>
          <cell r="C138">
            <v>1</v>
          </cell>
          <cell r="D138">
            <v>4</v>
          </cell>
          <cell r="E138">
            <v>3.84</v>
          </cell>
        </row>
        <row r="139">
          <cell r="E139">
            <v>0.32350000000000001</v>
          </cell>
        </row>
        <row r="140">
          <cell r="E140">
            <v>0.15</v>
          </cell>
        </row>
        <row r="141">
          <cell r="F141">
            <v>0.75</v>
          </cell>
        </row>
        <row r="142">
          <cell r="B142">
            <v>1</v>
          </cell>
          <cell r="C142">
            <v>1</v>
          </cell>
          <cell r="D142">
            <v>3</v>
          </cell>
          <cell r="E142">
            <v>2.4900000000000002</v>
          </cell>
          <cell r="F142" t="str">
            <v/>
          </cell>
        </row>
        <row r="143">
          <cell r="E143">
            <v>0.39349999999999996</v>
          </cell>
        </row>
        <row r="144">
          <cell r="E144">
            <v>0.15</v>
          </cell>
        </row>
        <row r="145">
          <cell r="F145">
            <v>0.44</v>
          </cell>
        </row>
        <row r="146">
          <cell r="A146" t="str">
            <v>C1.1c</v>
          </cell>
          <cell r="F146">
            <v>10.35</v>
          </cell>
        </row>
        <row r="149">
          <cell r="B149">
            <v>1</v>
          </cell>
          <cell r="C149">
            <v>4</v>
          </cell>
          <cell r="D149">
            <v>26</v>
          </cell>
          <cell r="E149">
            <v>0.51</v>
          </cell>
        </row>
        <row r="150">
          <cell r="E150">
            <v>0.2</v>
          </cell>
        </row>
        <row r="151">
          <cell r="E151">
            <v>0.22</v>
          </cell>
        </row>
        <row r="152">
          <cell r="F152">
            <v>2.33</v>
          </cell>
        </row>
        <row r="153">
          <cell r="B153">
            <v>1</v>
          </cell>
          <cell r="C153">
            <v>4</v>
          </cell>
          <cell r="D153">
            <v>14</v>
          </cell>
          <cell r="E153">
            <v>0.25</v>
          </cell>
        </row>
        <row r="154">
          <cell r="E154">
            <v>0.2</v>
          </cell>
        </row>
        <row r="155">
          <cell r="E155">
            <v>0.22</v>
          </cell>
        </row>
        <row r="156">
          <cell r="F156">
            <v>0.62</v>
          </cell>
        </row>
        <row r="157">
          <cell r="A157" t="str">
            <v>C1.1d</v>
          </cell>
          <cell r="F157">
            <v>2.95</v>
          </cell>
        </row>
        <row r="160">
          <cell r="B160">
            <v>4</v>
          </cell>
          <cell r="C160">
            <v>1</v>
          </cell>
          <cell r="D160">
            <v>1</v>
          </cell>
          <cell r="E160">
            <v>2.2200000000000002</v>
          </cell>
        </row>
        <row r="161">
          <cell r="E161">
            <v>1.7549999999999999</v>
          </cell>
        </row>
        <row r="162">
          <cell r="E162">
            <v>0.06</v>
          </cell>
        </row>
        <row r="163">
          <cell r="F163">
            <v>0.94</v>
          </cell>
        </row>
        <row r="164">
          <cell r="B164">
            <v>4</v>
          </cell>
          <cell r="C164">
            <v>1</v>
          </cell>
          <cell r="D164">
            <v>1</v>
          </cell>
          <cell r="E164">
            <v>1.8149999999999999</v>
          </cell>
        </row>
        <row r="165">
          <cell r="E165">
            <v>1.37</v>
          </cell>
        </row>
        <row r="166">
          <cell r="E166">
            <v>0.06</v>
          </cell>
        </row>
        <row r="167">
          <cell r="F167">
            <v>0.6</v>
          </cell>
        </row>
        <row r="168">
          <cell r="B168">
            <v>4</v>
          </cell>
          <cell r="C168">
            <v>1</v>
          </cell>
          <cell r="D168">
            <v>2</v>
          </cell>
          <cell r="E168">
            <v>2.125</v>
          </cell>
        </row>
        <row r="169">
          <cell r="E169">
            <v>1.61</v>
          </cell>
        </row>
        <row r="170">
          <cell r="E170">
            <v>0.06</v>
          </cell>
        </row>
        <row r="171">
          <cell r="F171">
            <v>1.64</v>
          </cell>
        </row>
        <row r="172">
          <cell r="B172">
            <v>4</v>
          </cell>
          <cell r="C172">
            <v>1</v>
          </cell>
          <cell r="D172">
            <v>1</v>
          </cell>
          <cell r="E172">
            <v>1.61</v>
          </cell>
        </row>
        <row r="173">
          <cell r="E173">
            <v>2.2000000000000002</v>
          </cell>
        </row>
        <row r="174">
          <cell r="E174">
            <v>0.06</v>
          </cell>
        </row>
        <row r="175">
          <cell r="F175">
            <v>0.85</v>
          </cell>
        </row>
        <row r="176">
          <cell r="B176">
            <v>4</v>
          </cell>
          <cell r="C176">
            <v>1</v>
          </cell>
          <cell r="D176">
            <v>1</v>
          </cell>
          <cell r="E176">
            <v>1.41</v>
          </cell>
        </row>
        <row r="177">
          <cell r="E177">
            <v>1.8</v>
          </cell>
        </row>
        <row r="178">
          <cell r="E178">
            <v>0.06</v>
          </cell>
        </row>
        <row r="179">
          <cell r="F179">
            <v>0.61</v>
          </cell>
        </row>
        <row r="180">
          <cell r="A180" t="str">
            <v>C1.1e</v>
          </cell>
          <cell r="F180">
            <v>4.6399999999999997</v>
          </cell>
        </row>
        <row r="183">
          <cell r="B183">
            <v>1</v>
          </cell>
          <cell r="C183">
            <v>1</v>
          </cell>
          <cell r="D183">
            <v>2</v>
          </cell>
          <cell r="E183">
            <v>4.8499999999999996</v>
          </cell>
        </row>
        <row r="184">
          <cell r="E184">
            <v>9</v>
          </cell>
        </row>
        <row r="185">
          <cell r="F185">
            <v>87.3</v>
          </cell>
        </row>
        <row r="186">
          <cell r="B186">
            <v>1</v>
          </cell>
          <cell r="C186">
            <v>1</v>
          </cell>
          <cell r="D186">
            <v>2</v>
          </cell>
          <cell r="E186">
            <v>4.8499999999999996</v>
          </cell>
        </row>
        <row r="187">
          <cell r="E187">
            <v>10.130000000000001</v>
          </cell>
        </row>
        <row r="188">
          <cell r="F188">
            <v>98.26</v>
          </cell>
        </row>
        <row r="189">
          <cell r="B189">
            <v>1</v>
          </cell>
          <cell r="C189">
            <v>1</v>
          </cell>
          <cell r="D189">
            <v>2</v>
          </cell>
          <cell r="E189">
            <v>3.84</v>
          </cell>
        </row>
        <row r="190">
          <cell r="E190">
            <v>9</v>
          </cell>
        </row>
        <row r="191">
          <cell r="F191">
            <v>69.12</v>
          </cell>
        </row>
        <row r="192">
          <cell r="B192">
            <v>1</v>
          </cell>
          <cell r="C192">
            <v>1</v>
          </cell>
          <cell r="D192">
            <v>1</v>
          </cell>
          <cell r="E192">
            <v>3.84</v>
          </cell>
        </row>
        <row r="193">
          <cell r="E193">
            <v>4.51</v>
          </cell>
        </row>
        <row r="194">
          <cell r="F194">
            <v>17.32</v>
          </cell>
        </row>
        <row r="195">
          <cell r="F195">
            <v>272</v>
          </cell>
        </row>
        <row r="197">
          <cell r="B197">
            <v>1</v>
          </cell>
          <cell r="C197">
            <v>1</v>
          </cell>
          <cell r="D197">
            <v>1</v>
          </cell>
          <cell r="E197">
            <v>272</v>
          </cell>
          <cell r="F197">
            <v>272</v>
          </cell>
        </row>
        <row r="198">
          <cell r="A198" t="str">
            <v>C1.2a</v>
          </cell>
          <cell r="F198">
            <v>272</v>
          </cell>
        </row>
        <row r="200">
          <cell r="B200">
            <v>1</v>
          </cell>
          <cell r="C200">
            <v>1</v>
          </cell>
          <cell r="D200">
            <v>1</v>
          </cell>
          <cell r="E200">
            <v>272</v>
          </cell>
          <cell r="F200">
            <v>272</v>
          </cell>
        </row>
        <row r="201">
          <cell r="A201" t="str">
            <v>C1.2b</v>
          </cell>
          <cell r="F201">
            <v>272</v>
          </cell>
        </row>
        <row r="203">
          <cell r="B203">
            <v>1</v>
          </cell>
          <cell r="C203">
            <v>1</v>
          </cell>
          <cell r="D203">
            <v>1</v>
          </cell>
          <cell r="E203">
            <v>272</v>
          </cell>
          <cell r="F203">
            <v>272</v>
          </cell>
        </row>
        <row r="204">
          <cell r="A204" t="str">
            <v>C1.2c</v>
          </cell>
          <cell r="F204">
            <v>272</v>
          </cell>
        </row>
        <row r="206">
          <cell r="B206">
            <v>1</v>
          </cell>
          <cell r="C206">
            <v>1</v>
          </cell>
          <cell r="D206">
            <v>1</v>
          </cell>
          <cell r="E206">
            <v>272</v>
          </cell>
          <cell r="F206">
            <v>272</v>
          </cell>
        </row>
        <row r="207">
          <cell r="A207" t="str">
            <v>C1.2d</v>
          </cell>
          <cell r="F207">
            <v>272</v>
          </cell>
        </row>
        <row r="211">
          <cell r="B211">
            <v>1</v>
          </cell>
          <cell r="C211">
            <v>1</v>
          </cell>
          <cell r="D211">
            <v>4</v>
          </cell>
          <cell r="E211">
            <v>58</v>
          </cell>
        </row>
        <row r="212">
          <cell r="A212" t="str">
            <v>C1.2e</v>
          </cell>
          <cell r="F212">
            <v>232</v>
          </cell>
        </row>
        <row r="215">
          <cell r="B215">
            <v>1</v>
          </cell>
          <cell r="C215">
            <v>1</v>
          </cell>
          <cell r="D215">
            <v>4</v>
          </cell>
          <cell r="E215">
            <v>34</v>
          </cell>
        </row>
        <row r="216">
          <cell r="A216" t="str">
            <v>C1.2f</v>
          </cell>
          <cell r="F216">
            <v>136</v>
          </cell>
        </row>
        <row r="221">
          <cell r="B221">
            <v>1</v>
          </cell>
          <cell r="C221">
            <v>1</v>
          </cell>
          <cell r="D221">
            <v>18</v>
          </cell>
          <cell r="E221">
            <v>1.3</v>
          </cell>
        </row>
        <row r="222">
          <cell r="E222">
            <v>2.4</v>
          </cell>
        </row>
        <row r="223">
          <cell r="F223">
            <v>56.16</v>
          </cell>
        </row>
        <row r="224">
          <cell r="B224">
            <v>1</v>
          </cell>
          <cell r="C224">
            <v>1</v>
          </cell>
          <cell r="D224">
            <v>6</v>
          </cell>
          <cell r="E224">
            <v>1.4</v>
          </cell>
        </row>
        <row r="225">
          <cell r="E225">
            <v>2.4</v>
          </cell>
        </row>
        <row r="226">
          <cell r="F226">
            <v>20.16</v>
          </cell>
        </row>
        <row r="228">
          <cell r="B228">
            <v>1</v>
          </cell>
          <cell r="C228">
            <v>3</v>
          </cell>
          <cell r="D228">
            <v>24</v>
          </cell>
          <cell r="E228">
            <v>1.3</v>
          </cell>
        </row>
        <row r="229">
          <cell r="E229">
            <v>2.4</v>
          </cell>
        </row>
        <row r="230">
          <cell r="F230">
            <v>224.64</v>
          </cell>
        </row>
        <row r="232">
          <cell r="B232">
            <v>1</v>
          </cell>
          <cell r="C232">
            <v>1</v>
          </cell>
          <cell r="D232">
            <v>24</v>
          </cell>
          <cell r="E232">
            <v>1.3</v>
          </cell>
        </row>
        <row r="233">
          <cell r="E233">
            <v>2.58</v>
          </cell>
        </row>
        <row r="234">
          <cell r="F234">
            <v>80.5</v>
          </cell>
        </row>
        <row r="235">
          <cell r="A235" t="str">
            <v>C1.3a</v>
          </cell>
          <cell r="F235">
            <v>381.46</v>
          </cell>
        </row>
        <row r="240">
          <cell r="B240">
            <v>1</v>
          </cell>
          <cell r="C240">
            <v>4</v>
          </cell>
          <cell r="D240">
            <v>2</v>
          </cell>
          <cell r="E240">
            <v>9.4</v>
          </cell>
        </row>
        <row r="241">
          <cell r="E241">
            <v>0.48</v>
          </cell>
        </row>
        <row r="242">
          <cell r="F242">
            <v>36.1</v>
          </cell>
        </row>
        <row r="243">
          <cell r="B243">
            <v>1</v>
          </cell>
          <cell r="C243">
            <v>4</v>
          </cell>
          <cell r="D243">
            <v>2</v>
          </cell>
          <cell r="E243">
            <v>32.520000000000003</v>
          </cell>
        </row>
        <row r="244">
          <cell r="E244">
            <v>0.48</v>
          </cell>
        </row>
        <row r="245">
          <cell r="F245">
            <v>124.88</v>
          </cell>
        </row>
        <row r="246">
          <cell r="B246">
            <v>1</v>
          </cell>
          <cell r="C246">
            <v>4</v>
          </cell>
          <cell r="D246">
            <v>4</v>
          </cell>
          <cell r="E246">
            <v>1.33</v>
          </cell>
        </row>
        <row r="247">
          <cell r="E247">
            <v>0.48</v>
          </cell>
        </row>
        <row r="248">
          <cell r="F248">
            <v>10.210000000000001</v>
          </cell>
        </row>
        <row r="249">
          <cell r="B249">
            <v>1</v>
          </cell>
          <cell r="C249">
            <v>4</v>
          </cell>
          <cell r="D249">
            <v>1</v>
          </cell>
          <cell r="E249">
            <v>3.84</v>
          </cell>
        </row>
        <row r="250">
          <cell r="E250">
            <v>0.48</v>
          </cell>
        </row>
        <row r="251">
          <cell r="F251">
            <v>7.37</v>
          </cell>
        </row>
        <row r="252">
          <cell r="B252">
            <v>1</v>
          </cell>
          <cell r="C252">
            <v>4</v>
          </cell>
          <cell r="D252">
            <v>2</v>
          </cell>
          <cell r="E252">
            <v>4.0999999999999996</v>
          </cell>
        </row>
        <row r="253">
          <cell r="E253">
            <v>0.48</v>
          </cell>
        </row>
        <row r="254">
          <cell r="F254">
            <v>15.74</v>
          </cell>
        </row>
        <row r="256">
          <cell r="B256">
            <v>1</v>
          </cell>
          <cell r="C256">
            <v>4</v>
          </cell>
          <cell r="D256">
            <v>8</v>
          </cell>
          <cell r="E256">
            <v>9</v>
          </cell>
        </row>
        <row r="257">
          <cell r="E257">
            <v>0.2</v>
          </cell>
        </row>
        <row r="258">
          <cell r="F258">
            <v>57.6</v>
          </cell>
        </row>
        <row r="259">
          <cell r="B259">
            <v>1</v>
          </cell>
          <cell r="C259">
            <v>4</v>
          </cell>
          <cell r="D259">
            <v>4</v>
          </cell>
          <cell r="E259">
            <v>10.130000000000001</v>
          </cell>
        </row>
        <row r="260">
          <cell r="E260">
            <v>0.2</v>
          </cell>
        </row>
        <row r="261">
          <cell r="F261">
            <v>32.42</v>
          </cell>
        </row>
        <row r="262">
          <cell r="B262">
            <v>1</v>
          </cell>
          <cell r="C262">
            <v>4</v>
          </cell>
          <cell r="D262">
            <v>2</v>
          </cell>
          <cell r="E262">
            <v>4.5</v>
          </cell>
        </row>
        <row r="263">
          <cell r="E263">
            <v>0.2</v>
          </cell>
        </row>
        <row r="264">
          <cell r="F264">
            <v>7.2</v>
          </cell>
        </row>
        <row r="265">
          <cell r="B265">
            <v>1</v>
          </cell>
          <cell r="C265">
            <v>4</v>
          </cell>
          <cell r="D265">
            <v>1</v>
          </cell>
          <cell r="E265">
            <v>9.6999999999999993</v>
          </cell>
        </row>
        <row r="266">
          <cell r="E266">
            <v>0.2</v>
          </cell>
        </row>
        <row r="267">
          <cell r="F267">
            <v>7.76</v>
          </cell>
        </row>
        <row r="268">
          <cell r="B268">
            <v>1</v>
          </cell>
          <cell r="C268">
            <v>4</v>
          </cell>
          <cell r="D268">
            <v>1</v>
          </cell>
          <cell r="E268">
            <v>40.620000000000005</v>
          </cell>
        </row>
        <row r="269">
          <cell r="E269">
            <v>0.2</v>
          </cell>
        </row>
        <row r="270">
          <cell r="F270">
            <v>32.5</v>
          </cell>
        </row>
        <row r="271">
          <cell r="B271">
            <v>1</v>
          </cell>
          <cell r="C271">
            <v>4</v>
          </cell>
          <cell r="D271">
            <v>2</v>
          </cell>
          <cell r="E271">
            <v>3.84</v>
          </cell>
        </row>
        <row r="272">
          <cell r="E272">
            <v>0.2</v>
          </cell>
        </row>
        <row r="273">
          <cell r="F273">
            <v>6.14</v>
          </cell>
        </row>
        <row r="274">
          <cell r="B274">
            <v>1</v>
          </cell>
          <cell r="C274">
            <v>3</v>
          </cell>
          <cell r="D274">
            <v>1</v>
          </cell>
          <cell r="E274">
            <v>1.35</v>
          </cell>
        </row>
        <row r="275">
          <cell r="E275">
            <v>0.33</v>
          </cell>
        </row>
        <row r="276">
          <cell r="F276">
            <v>1.34</v>
          </cell>
        </row>
        <row r="277">
          <cell r="B277">
            <v>1</v>
          </cell>
          <cell r="C277">
            <v>4</v>
          </cell>
          <cell r="D277">
            <v>1</v>
          </cell>
          <cell r="E277">
            <v>1.35</v>
          </cell>
        </row>
        <row r="278">
          <cell r="E278">
            <v>0.35</v>
          </cell>
        </row>
        <row r="279">
          <cell r="F279">
            <v>1.89</v>
          </cell>
        </row>
        <row r="280">
          <cell r="B280">
            <v>1</v>
          </cell>
          <cell r="C280">
            <v>4</v>
          </cell>
          <cell r="D280">
            <v>1</v>
          </cell>
          <cell r="E280">
            <v>1.1399999999999999</v>
          </cell>
        </row>
        <row r="281">
          <cell r="E281">
            <v>0.33</v>
          </cell>
        </row>
        <row r="282">
          <cell r="F282">
            <v>1.5</v>
          </cell>
        </row>
        <row r="283">
          <cell r="B283">
            <v>1</v>
          </cell>
          <cell r="C283">
            <v>4</v>
          </cell>
          <cell r="D283">
            <v>1</v>
          </cell>
          <cell r="E283">
            <v>30.92</v>
          </cell>
        </row>
        <row r="284">
          <cell r="E284">
            <v>0.2</v>
          </cell>
        </row>
        <row r="285">
          <cell r="F285">
            <v>24.74</v>
          </cell>
        </row>
        <row r="286">
          <cell r="B286">
            <v>1</v>
          </cell>
          <cell r="C286">
            <v>4</v>
          </cell>
          <cell r="D286">
            <v>2</v>
          </cell>
          <cell r="E286">
            <v>1.35</v>
          </cell>
        </row>
        <row r="287">
          <cell r="E287">
            <v>0.25</v>
          </cell>
        </row>
        <row r="288">
          <cell r="F288">
            <v>2.7</v>
          </cell>
        </row>
        <row r="289">
          <cell r="B289">
            <v>1</v>
          </cell>
          <cell r="C289">
            <v>3</v>
          </cell>
          <cell r="D289">
            <v>1</v>
          </cell>
          <cell r="E289">
            <v>1.35</v>
          </cell>
        </row>
        <row r="290">
          <cell r="E290">
            <v>0.23300000000000001</v>
          </cell>
        </row>
        <row r="291">
          <cell r="F291">
            <v>0.94</v>
          </cell>
        </row>
        <row r="292">
          <cell r="B292">
            <v>1</v>
          </cell>
          <cell r="C292">
            <v>4</v>
          </cell>
          <cell r="D292">
            <v>2</v>
          </cell>
          <cell r="E292">
            <v>1.1399999999999999</v>
          </cell>
        </row>
        <row r="293">
          <cell r="E293">
            <v>0.25</v>
          </cell>
        </row>
        <row r="294">
          <cell r="F294">
            <v>2.2799999999999998</v>
          </cell>
        </row>
        <row r="296">
          <cell r="B296">
            <v>1</v>
          </cell>
          <cell r="C296">
            <v>4</v>
          </cell>
          <cell r="D296">
            <v>4</v>
          </cell>
          <cell r="E296">
            <v>8.1999999999999993</v>
          </cell>
        </row>
        <row r="297">
          <cell r="E297">
            <v>0.2</v>
          </cell>
        </row>
        <row r="298">
          <cell r="F298">
            <v>26.24</v>
          </cell>
        </row>
        <row r="299">
          <cell r="B299">
            <v>1</v>
          </cell>
          <cell r="C299">
            <v>4</v>
          </cell>
          <cell r="D299">
            <v>4</v>
          </cell>
          <cell r="E299">
            <v>9.5300000000000011</v>
          </cell>
        </row>
        <row r="300">
          <cell r="E300">
            <v>0.2</v>
          </cell>
        </row>
        <row r="301">
          <cell r="F301">
            <v>30.5</v>
          </cell>
        </row>
        <row r="302">
          <cell r="B302">
            <v>1</v>
          </cell>
          <cell r="C302">
            <v>4</v>
          </cell>
          <cell r="D302">
            <v>1</v>
          </cell>
          <cell r="E302">
            <v>9.6999999999999993</v>
          </cell>
        </row>
        <row r="303">
          <cell r="E303">
            <v>0.2</v>
          </cell>
        </row>
        <row r="304">
          <cell r="F304">
            <v>7.76</v>
          </cell>
        </row>
        <row r="305">
          <cell r="B305">
            <v>1</v>
          </cell>
          <cell r="C305">
            <v>4</v>
          </cell>
          <cell r="D305">
            <v>2</v>
          </cell>
          <cell r="E305">
            <v>30.520000000000003</v>
          </cell>
        </row>
        <row r="306">
          <cell r="E306">
            <v>0.2</v>
          </cell>
        </row>
        <row r="307">
          <cell r="F307">
            <v>48.83</v>
          </cell>
        </row>
        <row r="308">
          <cell r="B308">
            <v>1</v>
          </cell>
          <cell r="C308">
            <v>4</v>
          </cell>
          <cell r="D308">
            <v>2</v>
          </cell>
          <cell r="E308">
            <v>3.84</v>
          </cell>
        </row>
        <row r="309">
          <cell r="E309">
            <v>0.2</v>
          </cell>
        </row>
        <row r="310">
          <cell r="F310">
            <v>6.14</v>
          </cell>
        </row>
        <row r="311">
          <cell r="B311">
            <v>1</v>
          </cell>
          <cell r="C311">
            <v>4</v>
          </cell>
          <cell r="D311">
            <v>1</v>
          </cell>
          <cell r="E311">
            <v>3.84</v>
          </cell>
        </row>
        <row r="312">
          <cell r="E312">
            <v>0.2</v>
          </cell>
        </row>
        <row r="313">
          <cell r="F313">
            <v>3.07</v>
          </cell>
        </row>
        <row r="316">
          <cell r="B316">
            <v>1</v>
          </cell>
          <cell r="C316">
            <v>1</v>
          </cell>
          <cell r="D316">
            <v>1</v>
          </cell>
          <cell r="E316">
            <v>89.16</v>
          </cell>
        </row>
        <row r="317">
          <cell r="E317">
            <v>0.3</v>
          </cell>
        </row>
        <row r="318">
          <cell r="F318">
            <v>26.75</v>
          </cell>
        </row>
        <row r="320">
          <cell r="B320">
            <v>1</v>
          </cell>
          <cell r="C320">
            <v>1</v>
          </cell>
          <cell r="D320">
            <v>2</v>
          </cell>
          <cell r="E320">
            <v>27.7</v>
          </cell>
        </row>
        <row r="321">
          <cell r="E321">
            <v>0.3</v>
          </cell>
        </row>
        <row r="322">
          <cell r="F322">
            <v>16.62</v>
          </cell>
        </row>
        <row r="323">
          <cell r="B323">
            <v>1</v>
          </cell>
          <cell r="C323">
            <v>1</v>
          </cell>
          <cell r="D323">
            <v>2</v>
          </cell>
          <cell r="E323">
            <v>58.559999999999995</v>
          </cell>
        </row>
        <row r="324">
          <cell r="E324">
            <v>0.3</v>
          </cell>
        </row>
        <row r="325">
          <cell r="F325">
            <v>35.14</v>
          </cell>
        </row>
        <row r="326">
          <cell r="B326">
            <v>1</v>
          </cell>
          <cell r="C326">
            <v>1</v>
          </cell>
          <cell r="D326">
            <v>2</v>
          </cell>
          <cell r="E326">
            <v>32.96</v>
          </cell>
        </row>
        <row r="327">
          <cell r="E327">
            <v>0.3</v>
          </cell>
        </row>
        <row r="328">
          <cell r="F328">
            <v>19.78</v>
          </cell>
        </row>
        <row r="330">
          <cell r="B330">
            <v>1</v>
          </cell>
          <cell r="C330">
            <v>1</v>
          </cell>
          <cell r="D330">
            <v>4</v>
          </cell>
          <cell r="E330">
            <v>8.1999999999999993</v>
          </cell>
        </row>
        <row r="331">
          <cell r="E331">
            <v>0.2</v>
          </cell>
        </row>
        <row r="332">
          <cell r="F332">
            <v>6.56</v>
          </cell>
        </row>
        <row r="333">
          <cell r="B333">
            <v>1</v>
          </cell>
          <cell r="C333">
            <v>1</v>
          </cell>
          <cell r="D333">
            <v>4</v>
          </cell>
          <cell r="E333">
            <v>9.5300000000000011</v>
          </cell>
        </row>
        <row r="334">
          <cell r="E334">
            <v>0.2</v>
          </cell>
        </row>
        <row r="335">
          <cell r="F335">
            <v>7.62</v>
          </cell>
        </row>
        <row r="336">
          <cell r="B336">
            <v>1</v>
          </cell>
          <cell r="C336">
            <v>1</v>
          </cell>
          <cell r="D336">
            <v>2</v>
          </cell>
          <cell r="E336">
            <v>5</v>
          </cell>
        </row>
        <row r="337">
          <cell r="E337">
            <v>0.2</v>
          </cell>
        </row>
        <row r="338">
          <cell r="F338">
            <v>2</v>
          </cell>
        </row>
        <row r="339">
          <cell r="B339">
            <v>1</v>
          </cell>
          <cell r="C339">
            <v>1</v>
          </cell>
          <cell r="D339">
            <v>1</v>
          </cell>
          <cell r="E339">
            <v>9.6999999999999993</v>
          </cell>
        </row>
        <row r="340">
          <cell r="E340">
            <v>0.2</v>
          </cell>
        </row>
        <row r="341">
          <cell r="F341">
            <v>1.94</v>
          </cell>
        </row>
        <row r="342">
          <cell r="B342">
            <v>1</v>
          </cell>
          <cell r="C342">
            <v>1</v>
          </cell>
          <cell r="D342">
            <v>1</v>
          </cell>
          <cell r="E342">
            <v>20.92</v>
          </cell>
        </row>
        <row r="343">
          <cell r="E343">
            <v>0.2</v>
          </cell>
        </row>
        <row r="344">
          <cell r="F344">
            <v>4.18</v>
          </cell>
        </row>
        <row r="345">
          <cell r="B345">
            <v>1</v>
          </cell>
          <cell r="C345">
            <v>1</v>
          </cell>
          <cell r="D345">
            <v>1</v>
          </cell>
          <cell r="E345">
            <v>3.84</v>
          </cell>
        </row>
        <row r="346">
          <cell r="E346">
            <v>0.2</v>
          </cell>
        </row>
        <row r="348">
          <cell r="B348">
            <v>1</v>
          </cell>
          <cell r="C348">
            <v>1</v>
          </cell>
          <cell r="D348">
            <v>1</v>
          </cell>
          <cell r="E348">
            <v>9.6</v>
          </cell>
        </row>
        <row r="349">
          <cell r="E349">
            <v>0.2</v>
          </cell>
        </row>
        <row r="350">
          <cell r="F350">
            <v>1.92</v>
          </cell>
        </row>
        <row r="351">
          <cell r="B351">
            <v>1</v>
          </cell>
          <cell r="C351">
            <v>1</v>
          </cell>
          <cell r="D351">
            <v>1</v>
          </cell>
          <cell r="E351">
            <v>17.38</v>
          </cell>
        </row>
        <row r="352">
          <cell r="E352">
            <v>0.2</v>
          </cell>
        </row>
        <row r="353">
          <cell r="F353">
            <v>3.48</v>
          </cell>
        </row>
        <row r="354">
          <cell r="B354">
            <v>1</v>
          </cell>
          <cell r="C354">
            <v>1</v>
          </cell>
          <cell r="D354">
            <v>1</v>
          </cell>
          <cell r="E354">
            <v>30.520000000000003</v>
          </cell>
        </row>
        <row r="355">
          <cell r="E355">
            <v>0.2</v>
          </cell>
        </row>
        <row r="356">
          <cell r="F356">
            <v>6.1</v>
          </cell>
        </row>
        <row r="357">
          <cell r="A357" t="str">
            <v>C1.3b</v>
          </cell>
          <cell r="F357">
            <v>627.93999999999983</v>
          </cell>
        </row>
        <row r="360">
          <cell r="B360">
            <v>1</v>
          </cell>
          <cell r="C360">
            <v>1</v>
          </cell>
          <cell r="D360">
            <v>1</v>
          </cell>
          <cell r="E360">
            <v>1.35</v>
          </cell>
        </row>
        <row r="361">
          <cell r="E361">
            <v>2.7</v>
          </cell>
        </row>
        <row r="362">
          <cell r="F362">
            <v>3.65</v>
          </cell>
        </row>
        <row r="363">
          <cell r="B363">
            <v>1</v>
          </cell>
          <cell r="C363">
            <v>1</v>
          </cell>
          <cell r="D363">
            <v>4</v>
          </cell>
          <cell r="E363">
            <v>1.35</v>
          </cell>
        </row>
        <row r="364">
          <cell r="E364">
            <v>3.1</v>
          </cell>
        </row>
        <row r="365">
          <cell r="F365">
            <v>16.739999999999998</v>
          </cell>
        </row>
        <row r="366">
          <cell r="B366">
            <v>1</v>
          </cell>
          <cell r="C366">
            <v>1</v>
          </cell>
          <cell r="D366">
            <v>3</v>
          </cell>
          <cell r="E366">
            <v>1.35</v>
          </cell>
        </row>
        <row r="367">
          <cell r="E367">
            <v>3.0230000000000001</v>
          </cell>
        </row>
        <row r="368">
          <cell r="F368">
            <v>12.24</v>
          </cell>
        </row>
        <row r="369">
          <cell r="B369">
            <v>1</v>
          </cell>
          <cell r="C369">
            <v>1</v>
          </cell>
          <cell r="D369">
            <v>4</v>
          </cell>
          <cell r="E369">
            <v>0.81499999999999995</v>
          </cell>
        </row>
        <row r="370">
          <cell r="E370">
            <v>3.84</v>
          </cell>
        </row>
        <row r="371">
          <cell r="F371">
            <v>12.52</v>
          </cell>
        </row>
        <row r="372">
          <cell r="B372">
            <v>1</v>
          </cell>
          <cell r="C372">
            <v>1</v>
          </cell>
          <cell r="D372">
            <v>4</v>
          </cell>
          <cell r="E372">
            <v>0.34200000000000003</v>
          </cell>
        </row>
        <row r="373">
          <cell r="E373">
            <v>2.4900000000000002</v>
          </cell>
        </row>
        <row r="374">
          <cell r="F374">
            <v>3.41</v>
          </cell>
        </row>
        <row r="375">
          <cell r="B375">
            <v>1</v>
          </cell>
          <cell r="C375">
            <v>1</v>
          </cell>
          <cell r="D375">
            <v>3</v>
          </cell>
          <cell r="E375">
            <v>0.41199999999999998</v>
          </cell>
        </row>
        <row r="376">
          <cell r="E376">
            <v>2.4900000000000002</v>
          </cell>
        </row>
        <row r="377">
          <cell r="F377">
            <v>3.08</v>
          </cell>
        </row>
        <row r="379">
          <cell r="B379">
            <v>1</v>
          </cell>
          <cell r="C379">
            <v>1</v>
          </cell>
          <cell r="D379">
            <v>2</v>
          </cell>
          <cell r="E379">
            <v>2.88</v>
          </cell>
        </row>
        <row r="380">
          <cell r="E380">
            <v>0.15</v>
          </cell>
        </row>
        <row r="381">
          <cell r="F381">
            <v>0.86</v>
          </cell>
        </row>
        <row r="382">
          <cell r="B382">
            <v>1</v>
          </cell>
          <cell r="C382">
            <v>9</v>
          </cell>
          <cell r="D382">
            <v>2</v>
          </cell>
          <cell r="E382">
            <v>0.3</v>
          </cell>
        </row>
        <row r="383">
          <cell r="E383">
            <v>0.16</v>
          </cell>
        </row>
        <row r="384">
          <cell r="E384">
            <v>0.5</v>
          </cell>
        </row>
        <row r="385">
          <cell r="F385">
            <v>0.43</v>
          </cell>
        </row>
        <row r="386">
          <cell r="B386">
            <v>1</v>
          </cell>
          <cell r="C386">
            <v>4</v>
          </cell>
          <cell r="D386">
            <v>2</v>
          </cell>
          <cell r="E386">
            <v>3.1139999999999999</v>
          </cell>
        </row>
        <row r="387">
          <cell r="E387">
            <v>0.15</v>
          </cell>
        </row>
        <row r="388">
          <cell r="F388">
            <v>3.74</v>
          </cell>
        </row>
        <row r="389">
          <cell r="B389">
            <v>4</v>
          </cell>
          <cell r="C389">
            <v>9</v>
          </cell>
          <cell r="D389">
            <v>2</v>
          </cell>
          <cell r="E389">
            <v>0.3</v>
          </cell>
        </row>
        <row r="390">
          <cell r="E390">
            <v>0.16</v>
          </cell>
        </row>
        <row r="391">
          <cell r="E391">
            <v>0.5</v>
          </cell>
        </row>
        <row r="392">
          <cell r="F392">
            <v>1.73</v>
          </cell>
        </row>
        <row r="393">
          <cell r="B393">
            <v>1</v>
          </cell>
          <cell r="C393">
            <v>3</v>
          </cell>
          <cell r="D393">
            <v>2</v>
          </cell>
          <cell r="E393">
            <v>3.044</v>
          </cell>
        </row>
        <row r="394">
          <cell r="E394">
            <v>0.15</v>
          </cell>
        </row>
        <row r="395">
          <cell r="F395">
            <v>2.74</v>
          </cell>
        </row>
        <row r="396">
          <cell r="B396">
            <v>3</v>
          </cell>
          <cell r="C396">
            <v>9</v>
          </cell>
          <cell r="D396">
            <v>2</v>
          </cell>
          <cell r="E396">
            <v>0.3</v>
          </cell>
        </row>
        <row r="397">
          <cell r="E397">
            <v>0.16</v>
          </cell>
        </row>
        <row r="398">
          <cell r="E398">
            <v>0.5</v>
          </cell>
        </row>
        <row r="399">
          <cell r="F399">
            <v>1.3</v>
          </cell>
        </row>
        <row r="400">
          <cell r="B400">
            <v>1</v>
          </cell>
          <cell r="C400">
            <v>2</v>
          </cell>
          <cell r="D400">
            <v>4</v>
          </cell>
          <cell r="E400">
            <v>0.81499999999999995</v>
          </cell>
        </row>
        <row r="401">
          <cell r="E401">
            <v>0.15</v>
          </cell>
        </row>
        <row r="402">
          <cell r="F402">
            <v>0.98</v>
          </cell>
        </row>
        <row r="403">
          <cell r="B403">
            <v>1</v>
          </cell>
          <cell r="C403">
            <v>1</v>
          </cell>
          <cell r="D403">
            <v>4</v>
          </cell>
          <cell r="E403">
            <v>3.84</v>
          </cell>
        </row>
        <row r="404">
          <cell r="E404">
            <v>0.15</v>
          </cell>
        </row>
        <row r="405">
          <cell r="F405">
            <v>2.2999999999999998</v>
          </cell>
        </row>
        <row r="406">
          <cell r="B406">
            <v>1</v>
          </cell>
          <cell r="C406">
            <v>2</v>
          </cell>
          <cell r="D406">
            <v>4</v>
          </cell>
          <cell r="E406">
            <v>0.32</v>
          </cell>
        </row>
        <row r="407">
          <cell r="E407">
            <v>0.15</v>
          </cell>
        </row>
        <row r="408">
          <cell r="F408">
            <v>0.38</v>
          </cell>
        </row>
        <row r="409">
          <cell r="B409">
            <v>1</v>
          </cell>
          <cell r="C409">
            <v>2</v>
          </cell>
          <cell r="D409">
            <v>3</v>
          </cell>
          <cell r="E409">
            <v>0.39400000000000002</v>
          </cell>
        </row>
        <row r="410">
          <cell r="E410">
            <v>0.15</v>
          </cell>
        </row>
        <row r="411">
          <cell r="F411">
            <v>0.35</v>
          </cell>
        </row>
        <row r="412">
          <cell r="B412">
            <v>1</v>
          </cell>
          <cell r="C412">
            <v>2</v>
          </cell>
          <cell r="D412">
            <v>4</v>
          </cell>
          <cell r="E412">
            <v>1.1399999999999999</v>
          </cell>
        </row>
        <row r="413">
          <cell r="E413">
            <v>0.15</v>
          </cell>
        </row>
        <row r="414">
          <cell r="F414">
            <v>1.37</v>
          </cell>
        </row>
        <row r="415">
          <cell r="B415">
            <v>1</v>
          </cell>
          <cell r="C415">
            <v>1</v>
          </cell>
          <cell r="D415">
            <v>72</v>
          </cell>
          <cell r="E415">
            <v>1.35</v>
          </cell>
        </row>
        <row r="416">
          <cell r="E416">
            <v>0.16</v>
          </cell>
        </row>
        <row r="417">
          <cell r="F417">
            <v>15.55</v>
          </cell>
        </row>
        <row r="418">
          <cell r="A418" t="str">
            <v>C1.3c</v>
          </cell>
          <cell r="F418">
            <v>83.369999999999976</v>
          </cell>
        </row>
        <row r="423">
          <cell r="B423">
            <v>1</v>
          </cell>
          <cell r="C423">
            <v>4</v>
          </cell>
          <cell r="D423">
            <v>26</v>
          </cell>
          <cell r="E423">
            <v>0.51</v>
          </cell>
        </row>
        <row r="424">
          <cell r="E424">
            <v>0.2</v>
          </cell>
        </row>
        <row r="425">
          <cell r="F425">
            <v>10.61</v>
          </cell>
        </row>
        <row r="426">
          <cell r="B426">
            <v>1</v>
          </cell>
          <cell r="C426">
            <v>4</v>
          </cell>
          <cell r="D426">
            <v>14</v>
          </cell>
          <cell r="E426">
            <v>0.25</v>
          </cell>
        </row>
        <row r="427">
          <cell r="E427">
            <v>0.2</v>
          </cell>
        </row>
        <row r="428">
          <cell r="F428">
            <v>2.8</v>
          </cell>
        </row>
        <row r="429">
          <cell r="A429" t="str">
            <v>C1.3d</v>
          </cell>
          <cell r="F429">
            <v>13.41</v>
          </cell>
        </row>
        <row r="434">
          <cell r="A434" t="str">
            <v>C1.4a</v>
          </cell>
          <cell r="F434">
            <v>1325.11</v>
          </cell>
        </row>
        <row r="436">
          <cell r="A436" t="str">
            <v>C1.4b</v>
          </cell>
          <cell r="F436">
            <v>3244.83</v>
          </cell>
        </row>
        <row r="438">
          <cell r="A438" t="str">
            <v>C1.4c</v>
          </cell>
          <cell r="F438">
            <v>519.42999999999995</v>
          </cell>
        </row>
        <row r="440">
          <cell r="A440" t="str">
            <v>C1.4d</v>
          </cell>
          <cell r="F440">
            <v>1694.33</v>
          </cell>
        </row>
        <row r="442">
          <cell r="A442" t="str">
            <v>C1.4e</v>
          </cell>
          <cell r="F442">
            <v>6464.09</v>
          </cell>
        </row>
        <row r="444">
          <cell r="A444" t="str">
            <v>C1.4f</v>
          </cell>
          <cell r="F444">
            <v>6320.54</v>
          </cell>
        </row>
        <row r="446">
          <cell r="A446" t="str">
            <v>C1.4g</v>
          </cell>
          <cell r="F446">
            <v>1690.27</v>
          </cell>
        </row>
      </sheetData>
      <sheetData sheetId="2"/>
      <sheetData sheetId="3">
        <row r="46">
          <cell r="M46">
            <v>197069.65000000002</v>
          </cell>
        </row>
      </sheetData>
      <sheetData sheetId="4"/>
      <sheetData sheetId="5"/>
      <sheetData sheetId="6"/>
      <sheetData sheetId="7"/>
      <sheetData sheetId="8">
        <row r="1">
          <cell r="B1" t="str">
            <v>Project: Low Cost Housing Development Project</v>
          </cell>
        </row>
      </sheetData>
      <sheetData sheetId="9"/>
      <sheetData sheetId="10">
        <row r="1">
          <cell r="B1" t="str">
            <v>Project: Low Cost Housing Development Project</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Block Work Residence"/>
      <sheetName val="Block Summary"/>
      <sheetName val="Summary"/>
      <sheetName val="Sub Structure BC = 200"/>
      <sheetName val="Ar &amp; St"/>
      <sheetName val="E-1 200kp Res. Sub St."/>
      <sheetName val="E1 Excavation data"/>
      <sheetName val="Eshetu Y. E1trench&amp;masonary "/>
      <sheetName val="RB E-1 200kp Res. Sub St."/>
      <sheetName val="E-1 200kp  Sup St."/>
      <sheetName val="RB E-1 200kp Res. Super St."/>
    </sheetNames>
    <sheetDataSet>
      <sheetData sheetId="0" refreshError="1">
        <row r="1">
          <cell r="B1" t="str">
            <v>Project: Low Cost Housing Development Project</v>
          </cell>
        </row>
        <row r="2">
          <cell r="B2" t="str">
            <v>Location: Jemmo II</v>
          </cell>
        </row>
        <row r="3">
          <cell r="B3" t="str">
            <v>Client: Nifasilk Lafto Sub-City</v>
          </cell>
        </row>
        <row r="4">
          <cell r="B4" t="str">
            <v>Contractor: ESHETU YIRDAW B.C</v>
          </cell>
        </row>
        <row r="5">
          <cell r="B5" t="str">
            <v>Consultant: MGM Consult PLC</v>
          </cell>
        </row>
        <row r="6">
          <cell r="A6" t="str">
            <v>Code</v>
          </cell>
          <cell r="B6" t="str">
            <v>Timizing</v>
          </cell>
          <cell r="E6" t="str">
            <v>Dimension</v>
          </cell>
          <cell r="F6" t="str">
            <v>Qty</v>
          </cell>
        </row>
        <row r="11">
          <cell r="B11">
            <v>1</v>
          </cell>
          <cell r="C11">
            <v>4</v>
          </cell>
          <cell r="D11">
            <v>2</v>
          </cell>
          <cell r="E11">
            <v>8.1999999999999993</v>
          </cell>
        </row>
        <row r="12">
          <cell r="E12">
            <v>2.4</v>
          </cell>
        </row>
        <row r="13">
          <cell r="F13">
            <v>157.44</v>
          </cell>
        </row>
        <row r="14">
          <cell r="B14">
            <v>1</v>
          </cell>
          <cell r="C14">
            <v>4</v>
          </cell>
          <cell r="D14">
            <v>1</v>
          </cell>
          <cell r="E14">
            <v>3.83</v>
          </cell>
        </row>
        <row r="15">
          <cell r="E15">
            <v>2.4</v>
          </cell>
        </row>
        <row r="16">
          <cell r="F16">
            <v>36.770000000000003</v>
          </cell>
        </row>
        <row r="17">
          <cell r="B17">
            <v>1</v>
          </cell>
          <cell r="C17">
            <v>4</v>
          </cell>
          <cell r="D17">
            <v>1</v>
          </cell>
          <cell r="E17">
            <v>4.0999999999999996</v>
          </cell>
        </row>
        <row r="18">
          <cell r="E18">
            <v>2.4</v>
          </cell>
        </row>
        <row r="19">
          <cell r="F19">
            <v>39.36</v>
          </cell>
        </row>
        <row r="20">
          <cell r="B20">
            <v>1</v>
          </cell>
          <cell r="C20">
            <v>4</v>
          </cell>
          <cell r="D20">
            <v>2</v>
          </cell>
          <cell r="E20">
            <v>0.33</v>
          </cell>
        </row>
        <row r="21">
          <cell r="E21">
            <v>2.6</v>
          </cell>
        </row>
        <row r="22">
          <cell r="F22">
            <v>6.86</v>
          </cell>
        </row>
        <row r="23">
          <cell r="B23">
            <v>1</v>
          </cell>
          <cell r="C23">
            <v>4</v>
          </cell>
          <cell r="D23">
            <v>2</v>
          </cell>
          <cell r="E23">
            <v>8.14</v>
          </cell>
        </row>
        <row r="24">
          <cell r="E24">
            <v>2.4</v>
          </cell>
        </row>
        <row r="25">
          <cell r="F25">
            <v>156.29</v>
          </cell>
        </row>
        <row r="26">
          <cell r="B26">
            <v>1</v>
          </cell>
          <cell r="C26">
            <v>4</v>
          </cell>
          <cell r="D26">
            <v>2</v>
          </cell>
          <cell r="E26">
            <v>4.4099999999999993</v>
          </cell>
        </row>
        <row r="27">
          <cell r="E27">
            <v>2.4</v>
          </cell>
        </row>
        <row r="28">
          <cell r="F28">
            <v>84.67</v>
          </cell>
        </row>
        <row r="29">
          <cell r="B29">
            <v>1</v>
          </cell>
          <cell r="C29">
            <v>4</v>
          </cell>
          <cell r="D29">
            <v>1</v>
          </cell>
          <cell r="E29">
            <v>2.75</v>
          </cell>
        </row>
        <row r="30">
          <cell r="E30">
            <v>2.6</v>
          </cell>
        </row>
        <row r="31">
          <cell r="F31">
            <v>28.6</v>
          </cell>
        </row>
        <row r="32">
          <cell r="B32">
            <v>1</v>
          </cell>
          <cell r="C32">
            <v>4</v>
          </cell>
          <cell r="D32">
            <v>1</v>
          </cell>
          <cell r="E32">
            <v>3.5</v>
          </cell>
        </row>
        <row r="33">
          <cell r="E33">
            <v>2.6</v>
          </cell>
        </row>
        <row r="34">
          <cell r="F34">
            <v>36.4</v>
          </cell>
        </row>
        <row r="35">
          <cell r="B35">
            <v>1</v>
          </cell>
          <cell r="C35">
            <v>4</v>
          </cell>
          <cell r="D35">
            <v>1</v>
          </cell>
          <cell r="E35">
            <v>7</v>
          </cell>
        </row>
        <row r="36">
          <cell r="E36">
            <v>2.4</v>
          </cell>
        </row>
        <row r="37">
          <cell r="F37">
            <v>67.2</v>
          </cell>
        </row>
        <row r="38">
          <cell r="B38">
            <v>1</v>
          </cell>
          <cell r="C38">
            <v>4</v>
          </cell>
          <cell r="D38">
            <v>1</v>
          </cell>
          <cell r="E38">
            <v>23.980000000000004</v>
          </cell>
        </row>
        <row r="39">
          <cell r="E39">
            <v>2.4</v>
          </cell>
        </row>
        <row r="40">
          <cell r="F40">
            <v>230.21</v>
          </cell>
        </row>
        <row r="41">
          <cell r="B41">
            <v>1</v>
          </cell>
          <cell r="C41">
            <v>4</v>
          </cell>
          <cell r="D41">
            <v>1</v>
          </cell>
          <cell r="E41">
            <v>3.84</v>
          </cell>
        </row>
        <row r="42">
          <cell r="E42">
            <v>2.4</v>
          </cell>
        </row>
        <row r="43">
          <cell r="F43">
            <v>36.86</v>
          </cell>
        </row>
        <row r="44">
          <cell r="B44">
            <v>1</v>
          </cell>
          <cell r="C44">
            <v>4</v>
          </cell>
          <cell r="D44">
            <v>1</v>
          </cell>
          <cell r="E44">
            <v>1.95</v>
          </cell>
        </row>
        <row r="45">
          <cell r="E45">
            <v>2.6</v>
          </cell>
        </row>
        <row r="46">
          <cell r="F46">
            <v>20.28</v>
          </cell>
        </row>
        <row r="47">
          <cell r="B47">
            <v>1</v>
          </cell>
          <cell r="C47">
            <v>4</v>
          </cell>
          <cell r="D47">
            <v>1</v>
          </cell>
          <cell r="E47">
            <v>4.78</v>
          </cell>
        </row>
        <row r="48">
          <cell r="E48">
            <v>2.6</v>
          </cell>
        </row>
        <row r="49">
          <cell r="F49">
            <v>49.71</v>
          </cell>
        </row>
        <row r="50">
          <cell r="B50">
            <v>1</v>
          </cell>
          <cell r="C50">
            <v>4</v>
          </cell>
          <cell r="D50">
            <v>1</v>
          </cell>
          <cell r="E50">
            <v>14.18</v>
          </cell>
        </row>
        <row r="51">
          <cell r="E51">
            <v>2.6</v>
          </cell>
        </row>
        <row r="52">
          <cell r="F52">
            <v>147.47</v>
          </cell>
        </row>
        <row r="53">
          <cell r="B53">
            <v>1</v>
          </cell>
          <cell r="C53">
            <v>4</v>
          </cell>
          <cell r="D53">
            <v>1</v>
          </cell>
          <cell r="E53">
            <v>9.56</v>
          </cell>
        </row>
        <row r="54">
          <cell r="E54">
            <v>2.4</v>
          </cell>
        </row>
        <row r="55">
          <cell r="F55">
            <v>91.78</v>
          </cell>
        </row>
        <row r="56">
          <cell r="B56">
            <v>1</v>
          </cell>
          <cell r="C56">
            <v>4</v>
          </cell>
          <cell r="D56">
            <v>1</v>
          </cell>
          <cell r="E56">
            <v>26.33</v>
          </cell>
        </row>
        <row r="57">
          <cell r="E57">
            <v>0.9</v>
          </cell>
        </row>
        <row r="58">
          <cell r="F58">
            <v>94.79</v>
          </cell>
        </row>
        <row r="60">
          <cell r="B60">
            <v>-1</v>
          </cell>
          <cell r="C60">
            <v>4</v>
          </cell>
          <cell r="D60">
            <v>6</v>
          </cell>
          <cell r="E60">
            <v>0.6</v>
          </cell>
        </row>
        <row r="61">
          <cell r="E61">
            <v>0.6</v>
          </cell>
        </row>
        <row r="62">
          <cell r="F62">
            <v>-8.64</v>
          </cell>
        </row>
        <row r="63">
          <cell r="B63">
            <v>-1</v>
          </cell>
          <cell r="C63">
            <v>4</v>
          </cell>
          <cell r="D63">
            <v>5</v>
          </cell>
          <cell r="E63">
            <v>1</v>
          </cell>
        </row>
        <row r="64">
          <cell r="E64">
            <v>1.5</v>
          </cell>
        </row>
        <row r="65">
          <cell r="F65">
            <v>-30</v>
          </cell>
        </row>
        <row r="66">
          <cell r="B66">
            <v>-1</v>
          </cell>
          <cell r="C66">
            <v>4</v>
          </cell>
          <cell r="D66">
            <v>9</v>
          </cell>
          <cell r="E66">
            <v>1.2</v>
          </cell>
        </row>
        <row r="67">
          <cell r="E67">
            <v>1.5</v>
          </cell>
        </row>
        <row r="68">
          <cell r="F68">
            <v>-64.8</v>
          </cell>
        </row>
        <row r="69">
          <cell r="B69">
            <v>-1</v>
          </cell>
          <cell r="C69">
            <v>4</v>
          </cell>
          <cell r="D69">
            <v>6</v>
          </cell>
          <cell r="E69">
            <v>1.5</v>
          </cell>
        </row>
        <row r="70">
          <cell r="E70">
            <v>1.5</v>
          </cell>
        </row>
        <row r="71">
          <cell r="F71">
            <v>-54</v>
          </cell>
        </row>
        <row r="73">
          <cell r="B73">
            <v>1</v>
          </cell>
          <cell r="C73">
            <v>1</v>
          </cell>
          <cell r="D73">
            <v>2</v>
          </cell>
          <cell r="E73">
            <v>8.1999999999999993</v>
          </cell>
        </row>
        <row r="74">
          <cell r="E74">
            <v>2.58</v>
          </cell>
        </row>
        <row r="75">
          <cell r="F75">
            <v>42.31</v>
          </cell>
        </row>
        <row r="76">
          <cell r="B76">
            <v>1</v>
          </cell>
          <cell r="C76">
            <v>1</v>
          </cell>
          <cell r="D76">
            <v>1</v>
          </cell>
          <cell r="E76">
            <v>3.83</v>
          </cell>
        </row>
        <row r="77">
          <cell r="E77">
            <v>2.58</v>
          </cell>
        </row>
        <row r="78">
          <cell r="F78">
            <v>9.8800000000000008</v>
          </cell>
        </row>
        <row r="79">
          <cell r="B79">
            <v>1</v>
          </cell>
          <cell r="C79">
            <v>1</v>
          </cell>
          <cell r="D79">
            <v>1</v>
          </cell>
          <cell r="E79">
            <v>4.0999999999999996</v>
          </cell>
        </row>
        <row r="80">
          <cell r="E80">
            <v>2.58</v>
          </cell>
        </row>
        <row r="81">
          <cell r="F81">
            <v>10.58</v>
          </cell>
        </row>
        <row r="82">
          <cell r="B82">
            <v>1</v>
          </cell>
          <cell r="C82">
            <v>1</v>
          </cell>
          <cell r="D82">
            <v>2</v>
          </cell>
          <cell r="E82">
            <v>0.53</v>
          </cell>
        </row>
        <row r="83">
          <cell r="E83">
            <v>2.58</v>
          </cell>
        </row>
        <row r="84">
          <cell r="F84">
            <v>2.73</v>
          </cell>
        </row>
        <row r="85">
          <cell r="B85">
            <v>1</v>
          </cell>
          <cell r="C85">
            <v>1</v>
          </cell>
          <cell r="D85">
            <v>2</v>
          </cell>
          <cell r="E85">
            <v>8.14</v>
          </cell>
        </row>
        <row r="86">
          <cell r="E86">
            <v>2.58</v>
          </cell>
        </row>
        <row r="87">
          <cell r="F87">
            <v>42</v>
          </cell>
        </row>
        <row r="88">
          <cell r="B88">
            <v>1</v>
          </cell>
          <cell r="C88">
            <v>1</v>
          </cell>
          <cell r="D88">
            <v>2</v>
          </cell>
          <cell r="E88">
            <v>4.4099999999999993</v>
          </cell>
        </row>
        <row r="89">
          <cell r="E89">
            <v>2.58</v>
          </cell>
        </row>
        <row r="90">
          <cell r="F90">
            <v>22.76</v>
          </cell>
        </row>
        <row r="91">
          <cell r="B91">
            <v>1</v>
          </cell>
          <cell r="C91">
            <v>1</v>
          </cell>
          <cell r="D91">
            <v>1</v>
          </cell>
          <cell r="E91">
            <v>2.75</v>
          </cell>
        </row>
        <row r="92">
          <cell r="E92">
            <v>2.88</v>
          </cell>
        </row>
        <row r="93">
          <cell r="F93">
            <v>7.92</v>
          </cell>
        </row>
        <row r="94">
          <cell r="B94">
            <v>1</v>
          </cell>
          <cell r="C94">
            <v>1</v>
          </cell>
          <cell r="D94">
            <v>1</v>
          </cell>
          <cell r="E94">
            <v>3.5</v>
          </cell>
        </row>
        <row r="95">
          <cell r="E95">
            <v>2.88</v>
          </cell>
        </row>
        <row r="96">
          <cell r="F96">
            <v>10.08</v>
          </cell>
        </row>
        <row r="97">
          <cell r="B97">
            <v>1</v>
          </cell>
          <cell r="C97">
            <v>1</v>
          </cell>
          <cell r="D97">
            <v>1</v>
          </cell>
          <cell r="E97">
            <v>6.6</v>
          </cell>
        </row>
        <row r="98">
          <cell r="E98">
            <v>2.58</v>
          </cell>
        </row>
        <row r="99">
          <cell r="F99">
            <v>17.03</v>
          </cell>
        </row>
        <row r="100">
          <cell r="B100">
            <v>1</v>
          </cell>
          <cell r="C100">
            <v>1</v>
          </cell>
          <cell r="D100">
            <v>1</v>
          </cell>
          <cell r="E100">
            <v>20.93</v>
          </cell>
        </row>
        <row r="101">
          <cell r="E101">
            <v>2.58</v>
          </cell>
        </row>
        <row r="102">
          <cell r="F102">
            <v>54</v>
          </cell>
        </row>
        <row r="103">
          <cell r="B103">
            <v>1</v>
          </cell>
          <cell r="C103">
            <v>1</v>
          </cell>
          <cell r="D103">
            <v>1</v>
          </cell>
          <cell r="E103">
            <v>3.06</v>
          </cell>
        </row>
        <row r="104">
          <cell r="E104">
            <v>2.88</v>
          </cell>
        </row>
        <row r="105">
          <cell r="F105">
            <v>8.81</v>
          </cell>
        </row>
        <row r="106">
          <cell r="B106">
            <v>1</v>
          </cell>
          <cell r="C106">
            <v>1</v>
          </cell>
          <cell r="D106">
            <v>1</v>
          </cell>
          <cell r="E106">
            <v>3.84</v>
          </cell>
        </row>
        <row r="107">
          <cell r="E107">
            <v>2.58</v>
          </cell>
        </row>
        <row r="108">
          <cell r="F108">
            <v>9.91</v>
          </cell>
        </row>
        <row r="109">
          <cell r="B109">
            <v>1</v>
          </cell>
          <cell r="C109">
            <v>1</v>
          </cell>
          <cell r="D109">
            <v>1</v>
          </cell>
          <cell r="E109">
            <v>1.95</v>
          </cell>
        </row>
        <row r="110">
          <cell r="E110">
            <v>2.88</v>
          </cell>
        </row>
        <row r="111">
          <cell r="F111">
            <v>5.62</v>
          </cell>
        </row>
        <row r="112">
          <cell r="B112">
            <v>1</v>
          </cell>
          <cell r="C112">
            <v>1</v>
          </cell>
          <cell r="D112">
            <v>1</v>
          </cell>
          <cell r="E112">
            <v>4.78</v>
          </cell>
        </row>
        <row r="113">
          <cell r="E113">
            <v>2.58</v>
          </cell>
        </row>
        <row r="114">
          <cell r="F114">
            <v>12.33</v>
          </cell>
        </row>
        <row r="115">
          <cell r="B115">
            <v>1</v>
          </cell>
          <cell r="C115">
            <v>1</v>
          </cell>
          <cell r="D115">
            <v>1</v>
          </cell>
          <cell r="E115">
            <v>14.18</v>
          </cell>
        </row>
        <row r="116">
          <cell r="E116">
            <v>2.58</v>
          </cell>
        </row>
        <row r="117">
          <cell r="F117">
            <v>36.58</v>
          </cell>
        </row>
        <row r="118">
          <cell r="B118">
            <v>1</v>
          </cell>
          <cell r="C118">
            <v>1</v>
          </cell>
          <cell r="D118">
            <v>1</v>
          </cell>
          <cell r="E118">
            <v>9.56</v>
          </cell>
        </row>
        <row r="119">
          <cell r="E119">
            <v>2.58</v>
          </cell>
        </row>
        <row r="120">
          <cell r="F120">
            <v>24.66</v>
          </cell>
        </row>
        <row r="121">
          <cell r="B121">
            <v>1</v>
          </cell>
          <cell r="C121">
            <v>1</v>
          </cell>
          <cell r="D121">
            <v>1</v>
          </cell>
          <cell r="E121">
            <v>26.33</v>
          </cell>
        </row>
        <row r="122">
          <cell r="E122">
            <v>0.9</v>
          </cell>
        </row>
        <row r="123">
          <cell r="F123">
            <v>23.7</v>
          </cell>
        </row>
        <row r="125">
          <cell r="B125">
            <v>-1</v>
          </cell>
          <cell r="C125">
            <v>1</v>
          </cell>
          <cell r="D125">
            <v>6</v>
          </cell>
          <cell r="E125">
            <v>0.6</v>
          </cell>
        </row>
        <row r="126">
          <cell r="E126">
            <v>0.6</v>
          </cell>
        </row>
        <row r="127">
          <cell r="F127">
            <v>-2.16</v>
          </cell>
        </row>
        <row r="128">
          <cell r="B128">
            <v>-1</v>
          </cell>
          <cell r="C128">
            <v>1</v>
          </cell>
          <cell r="D128">
            <v>5</v>
          </cell>
          <cell r="E128">
            <v>1</v>
          </cell>
        </row>
        <row r="129">
          <cell r="E129">
            <v>1.5</v>
          </cell>
        </row>
        <row r="130">
          <cell r="F130">
            <v>-7.5</v>
          </cell>
        </row>
        <row r="131">
          <cell r="B131">
            <v>-1</v>
          </cell>
          <cell r="C131">
            <v>1</v>
          </cell>
          <cell r="D131">
            <v>9</v>
          </cell>
          <cell r="E131">
            <v>1.2</v>
          </cell>
        </row>
        <row r="132">
          <cell r="E132">
            <v>1.5</v>
          </cell>
        </row>
        <row r="133">
          <cell r="F133">
            <v>-16.2</v>
          </cell>
        </row>
        <row r="134">
          <cell r="B134">
            <v>-1</v>
          </cell>
          <cell r="C134">
            <v>1</v>
          </cell>
          <cell r="D134">
            <v>6</v>
          </cell>
          <cell r="E134">
            <v>1.5</v>
          </cell>
        </row>
        <row r="135">
          <cell r="E135">
            <v>1.5</v>
          </cell>
        </row>
        <row r="136">
          <cell r="F136">
            <v>-13.5</v>
          </cell>
        </row>
        <row r="137">
          <cell r="A137" t="str">
            <v>B2.1</v>
          </cell>
          <cell r="F137">
            <v>1428.7899999999997</v>
          </cell>
        </row>
        <row r="141">
          <cell r="B141">
            <v>1</v>
          </cell>
          <cell r="C141">
            <v>4</v>
          </cell>
          <cell r="D141">
            <v>1</v>
          </cell>
          <cell r="E141">
            <v>2.25</v>
          </cell>
        </row>
        <row r="142">
          <cell r="E142">
            <v>2.6</v>
          </cell>
        </row>
        <row r="143">
          <cell r="F143">
            <v>23.4</v>
          </cell>
        </row>
        <row r="144">
          <cell r="B144">
            <v>1</v>
          </cell>
          <cell r="C144">
            <v>4</v>
          </cell>
          <cell r="D144">
            <v>2</v>
          </cell>
          <cell r="E144">
            <v>3.0700000000000003</v>
          </cell>
        </row>
        <row r="145">
          <cell r="E145">
            <v>2.6</v>
          </cell>
        </row>
        <row r="146">
          <cell r="F146">
            <v>63.86</v>
          </cell>
        </row>
        <row r="147">
          <cell r="B147">
            <v>1</v>
          </cell>
          <cell r="C147">
            <v>4</v>
          </cell>
          <cell r="D147">
            <v>2</v>
          </cell>
          <cell r="E147">
            <v>1.55</v>
          </cell>
        </row>
        <row r="148">
          <cell r="E148">
            <v>2.4</v>
          </cell>
        </row>
        <row r="149">
          <cell r="F149">
            <v>29.76</v>
          </cell>
        </row>
        <row r="150">
          <cell r="B150">
            <v>1</v>
          </cell>
          <cell r="C150">
            <v>4</v>
          </cell>
          <cell r="D150">
            <v>1</v>
          </cell>
          <cell r="E150">
            <v>4.1100000000000003</v>
          </cell>
        </row>
        <row r="151">
          <cell r="E151">
            <v>2.6</v>
          </cell>
        </row>
        <row r="152">
          <cell r="F152">
            <v>42.74</v>
          </cell>
        </row>
        <row r="153">
          <cell r="B153">
            <v>1</v>
          </cell>
          <cell r="C153">
            <v>4</v>
          </cell>
          <cell r="D153">
            <v>1</v>
          </cell>
          <cell r="E153">
            <v>2.9000000000000004</v>
          </cell>
        </row>
        <row r="154">
          <cell r="E154">
            <v>2.6</v>
          </cell>
        </row>
        <row r="155">
          <cell r="F155">
            <v>30.16</v>
          </cell>
        </row>
        <row r="156">
          <cell r="B156">
            <v>1</v>
          </cell>
          <cell r="C156">
            <v>4</v>
          </cell>
          <cell r="D156">
            <v>1</v>
          </cell>
          <cell r="E156">
            <v>2.25</v>
          </cell>
        </row>
        <row r="157">
          <cell r="E157">
            <v>2.4</v>
          </cell>
        </row>
        <row r="158">
          <cell r="F158">
            <v>21.6</v>
          </cell>
        </row>
        <row r="159">
          <cell r="B159">
            <v>1</v>
          </cell>
          <cell r="C159">
            <v>4</v>
          </cell>
          <cell r="D159">
            <v>1</v>
          </cell>
          <cell r="E159">
            <v>2.99</v>
          </cell>
        </row>
        <row r="160">
          <cell r="E160">
            <v>2.6</v>
          </cell>
        </row>
        <row r="161">
          <cell r="F161">
            <v>31.1</v>
          </cell>
        </row>
        <row r="163">
          <cell r="B163">
            <v>1</v>
          </cell>
          <cell r="C163">
            <v>1</v>
          </cell>
          <cell r="D163">
            <v>1</v>
          </cell>
          <cell r="E163">
            <v>2.25</v>
          </cell>
        </row>
        <row r="164">
          <cell r="E164">
            <v>2.88</v>
          </cell>
        </row>
        <row r="165">
          <cell r="F165">
            <v>6.48</v>
          </cell>
        </row>
        <row r="166">
          <cell r="B166">
            <v>1</v>
          </cell>
          <cell r="C166">
            <v>1</v>
          </cell>
          <cell r="D166">
            <v>2</v>
          </cell>
          <cell r="E166">
            <v>5.5</v>
          </cell>
        </row>
        <row r="167">
          <cell r="E167">
            <v>2.88</v>
          </cell>
        </row>
        <row r="168">
          <cell r="F168">
            <v>31.68</v>
          </cell>
        </row>
        <row r="169">
          <cell r="B169">
            <v>1</v>
          </cell>
          <cell r="C169">
            <v>1</v>
          </cell>
          <cell r="D169">
            <v>2</v>
          </cell>
          <cell r="E169">
            <v>1.55</v>
          </cell>
        </row>
        <row r="170">
          <cell r="E170">
            <v>2.58</v>
          </cell>
        </row>
        <row r="171">
          <cell r="F171">
            <v>8</v>
          </cell>
        </row>
        <row r="172">
          <cell r="B172">
            <v>1</v>
          </cell>
          <cell r="C172">
            <v>1</v>
          </cell>
          <cell r="D172">
            <v>1</v>
          </cell>
          <cell r="E172">
            <v>8.1100000000000012</v>
          </cell>
        </row>
        <row r="173">
          <cell r="E173">
            <v>2.88</v>
          </cell>
        </row>
        <row r="174">
          <cell r="F174">
            <v>23.36</v>
          </cell>
        </row>
        <row r="175">
          <cell r="B175">
            <v>1</v>
          </cell>
          <cell r="C175">
            <v>1</v>
          </cell>
          <cell r="D175">
            <v>1</v>
          </cell>
          <cell r="E175">
            <v>9.65</v>
          </cell>
        </row>
        <row r="176">
          <cell r="E176">
            <v>2.88</v>
          </cell>
        </row>
        <row r="177">
          <cell r="F177">
            <v>27.79</v>
          </cell>
        </row>
        <row r="178">
          <cell r="B178">
            <v>1</v>
          </cell>
          <cell r="C178">
            <v>1</v>
          </cell>
          <cell r="D178">
            <v>1</v>
          </cell>
          <cell r="E178">
            <v>2.25</v>
          </cell>
        </row>
        <row r="179">
          <cell r="E179">
            <v>2.58</v>
          </cell>
        </row>
        <row r="180">
          <cell r="F180">
            <v>5.81</v>
          </cell>
        </row>
        <row r="181">
          <cell r="B181">
            <v>1</v>
          </cell>
          <cell r="C181">
            <v>1</v>
          </cell>
          <cell r="D181">
            <v>1</v>
          </cell>
          <cell r="E181">
            <v>16.849999999999998</v>
          </cell>
        </row>
        <row r="182">
          <cell r="E182">
            <v>2.88</v>
          </cell>
        </row>
        <row r="183">
          <cell r="F183">
            <v>48.53</v>
          </cell>
        </row>
        <row r="184">
          <cell r="A184" t="str">
            <v>B2.3</v>
          </cell>
          <cell r="F184">
            <v>394.27</v>
          </cell>
        </row>
      </sheetData>
      <sheetData sheetId="1"/>
      <sheetData sheetId="2"/>
      <sheetData sheetId="3"/>
      <sheetData sheetId="4"/>
      <sheetData sheetId="5"/>
      <sheetData sheetId="6"/>
      <sheetData sheetId="7"/>
      <sheetData sheetId="8"/>
      <sheetData sheetId="9"/>
      <sheetData sheetId="10">
        <row r="1">
          <cell r="B1" t="str">
            <v>Project: Low Cost Housing Development Project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308"/>
      <sheetName val="308m2"/>
      <sheetName val="price"/>
      <sheetName val="PROJECT TRACKING"/>
      <sheetName val="wa"/>
      <sheetName val="Break Down  "/>
      <sheetName val="Aca. Off - I"/>
      <sheetName val="Date"/>
      <sheetName val="Sheet2"/>
      <sheetName val="Break_Down__7"/>
      <sheetName val="Aca__Off_-_I7"/>
      <sheetName val="PROJECT_TRACKING7"/>
      <sheetName val="Break_Down__5"/>
      <sheetName val="Aca__Off_-_I5"/>
      <sheetName val="PROJECT_TRACKING5"/>
      <sheetName val="Break_Down__1"/>
      <sheetName val="Aca__Off_-_I1"/>
      <sheetName val="PROJECT_TRACKING1"/>
      <sheetName val="Break_Down__"/>
      <sheetName val="Aca__Off_-_I"/>
      <sheetName val="PROJECT_TRACKING"/>
      <sheetName val="Break_Down__2"/>
      <sheetName val="Aca__Off_-_I2"/>
      <sheetName val="PROJECT_TRACKING2"/>
      <sheetName val="Break_Down__3"/>
      <sheetName val="Aca__Off_-_I3"/>
      <sheetName val="PROJECT_TRACKING3"/>
      <sheetName val="Break_Down__4"/>
      <sheetName val="Aca__Off_-_I4"/>
      <sheetName val="PROJECT_TRACKING4"/>
      <sheetName val="Break_Down__6"/>
      <sheetName val="Aca__Off_-_I6"/>
      <sheetName val="PROJECT_TRACKING6"/>
      <sheetName val="Break_Down__8"/>
      <sheetName val="Aca__Off_-_I8"/>
      <sheetName val="PROJECT_TRACKING8"/>
      <sheetName val="OPD"/>
      <sheetName val="Waiting"/>
      <sheetName val="IPD"/>
      <sheetName val="OR"/>
      <sheetName val="Emergency"/>
      <sheetName val="Diagnostic"/>
      <sheetName val="Administration"/>
      <sheetName val="Staff"/>
      <sheetName val="Service quarter"/>
      <sheetName val="Generator"/>
      <sheetName val="Transformer"/>
      <sheetName val="Kitchen"/>
      <sheetName val="Store"/>
      <sheetName val="Morgue"/>
      <sheetName val="Guard house"/>
      <sheetName val="Dry latrine"/>
      <sheetName val="Civil"/>
      <sheetName val="site san"/>
      <sheetName val="electrical site work"/>
      <sheetName val="Variation work"/>
      <sheetName val="OPD take off"/>
      <sheetName val="Waiting Takeoff"/>
      <sheetName val="IPD Takeoff"/>
      <sheetName val="OR takeoff"/>
      <sheetName val="Income Stmnt"/>
      <sheetName val="Labor Budget"/>
      <sheetName val="08 Ar &amp; St"/>
      <sheetName val="08 Summary"/>
      <sheetName val="08 A-2 200kp Resi Sup St."/>
      <sheetName val="Summary"/>
      <sheetName val="Dining Room "/>
      <sheetName val="Week 4"/>
      <sheetName val="Cash flow schedule Phase 1&amp;2"/>
      <sheetName val="page -1 project information"/>
      <sheetName val="summary of activitie old"/>
      <sheetName val="dia.8mm"/>
      <sheetName val="page - 12 MWF oct. qty"/>
      <sheetName val="coded &amp; priced (4)"/>
      <sheetName val="dia.14mm"/>
      <sheetName val="CR-1 Roof Water Pro."/>
      <sheetName val="Task_Table1"/>
      <sheetName val="dia 16mm"/>
      <sheetName val="dia.10mm"/>
      <sheetName val="dia.12mm"/>
      <sheetName val="dia 20mm"/>
      <sheetName val="dia 24mm"/>
      <sheetName val="BOQ block 3"/>
      <sheetName val="FEB"/>
      <sheetName val="Lab. BOQ."/>
      <sheetName val="05 Ar &amp; St"/>
      <sheetName val="A-2 blcok work Res."/>
      <sheetName val="Sheet1"/>
      <sheetName val="05 RB A-2 200kp Res. Sub St."/>
      <sheetName val="05 A-2 300kp Sup St."/>
      <sheetName val="MEWD "/>
      <sheetName val="SUB BOQ"/>
      <sheetName val="Sum"/>
      <sheetName val="Mob.II"/>
      <sheetName val="Camp"/>
      <sheetName val="Ls Item"/>
      <sheetName val="Ar &amp; St"/>
      <sheetName val="Sub Structure BC = 200"/>
      <sheetName val="Service_quarter"/>
      <sheetName val="Guard_house"/>
      <sheetName val="Dry_latrine"/>
      <sheetName val="site_san"/>
      <sheetName val="electrical_site_work"/>
      <sheetName val="Variation_work"/>
      <sheetName val="OPD_take_off"/>
      <sheetName val="Waiting_Takeoff"/>
      <sheetName val="IPD_Takeoff"/>
      <sheetName val="OR_takeoff"/>
      <sheetName val="Income_Stmnt"/>
      <sheetName val="Bills of Quantities"/>
      <sheetName val="05 A-2 300kp Res. Sup St."/>
      <sheetName val="#REF"/>
      <sheetName val="PROJECT_TRACKING9"/>
      <sheetName val="Break_Down__9"/>
      <sheetName val="Aca__Off_-_I9"/>
      <sheetName val="08_Ar_&amp;_St"/>
      <sheetName val="08_Summary"/>
      <sheetName val="08_A-2_200kp_Resi_Sup_St_"/>
      <sheetName val="Dining_Room_"/>
      <sheetName val="Labor_Budget"/>
      <sheetName val="Mob_II"/>
      <sheetName val="Ls_Item"/>
      <sheetName val="Service_quarter1"/>
      <sheetName val="Guard_house1"/>
      <sheetName val="Dry_latrine1"/>
      <sheetName val="site_san1"/>
      <sheetName val="electrical_site_work1"/>
      <sheetName val="Variation_work1"/>
      <sheetName val="OPD_take_off1"/>
      <sheetName val="Waiting_Takeoff1"/>
      <sheetName val="IPD_Takeoff1"/>
      <sheetName val="OR_takeoff1"/>
      <sheetName val="Income_Stmnt1"/>
      <sheetName val="PROJECT_TRACKING10"/>
      <sheetName val="Break_Down__10"/>
      <sheetName val="Aca__Off_-_I10"/>
      <sheetName val="08_Ar_&amp;_St1"/>
      <sheetName val="08_Summary1"/>
      <sheetName val="08_A-2_200kp_Resi_Sup_St_1"/>
      <sheetName val="Dining_Room_1"/>
      <sheetName val="Labor_Budget1"/>
      <sheetName val="Mob_II1"/>
      <sheetName val="Ls_Item1"/>
      <sheetName val=" L -1  sub R-bar "/>
      <sheetName val="L-1 200kpa Res.Sub"/>
      <sheetName val="Exc."/>
      <sheetName val="품의"/>
      <sheetName val="대비"/>
      <sheetName val="Cash_flow_schedule_Phase_1&amp;2"/>
      <sheetName val="perforated sheet cost -Customs"/>
      <sheetName val="Cash_flow_schedule_Phase_1&amp;21"/>
      <sheetName val="장비"/>
      <sheetName val="노무"/>
      <sheetName val="자재"/>
      <sheetName val="산근1"/>
      <sheetName val="지계"/>
      <sheetName val=" analysis"/>
      <sheetName val="Service_quarter2"/>
      <sheetName val="Guard_house2"/>
      <sheetName val="Dry_latrine2"/>
      <sheetName val="site_san2"/>
      <sheetName val="electrical_site_work2"/>
      <sheetName val="Variation_work2"/>
      <sheetName val="OPD_take_off2"/>
      <sheetName val="Waiting_Takeoff2"/>
      <sheetName val="IPD_Takeoff2"/>
      <sheetName val="OR_takeoff2"/>
      <sheetName val="Income_Stmnt2"/>
      <sheetName val="PROJECT_TRACKING11"/>
      <sheetName val="Break_Down__11"/>
      <sheetName val="Aca__Off_-_I11"/>
      <sheetName val="08_Ar_&amp;_St2"/>
      <sheetName val="08_Summary2"/>
      <sheetName val="08_A-2_200kp_Resi_Sup_St_2"/>
      <sheetName val="Dining_Room_2"/>
      <sheetName val="Labor_Budget2"/>
      <sheetName val="Mob_II2"/>
      <sheetName val="Ls_Item2"/>
      <sheetName val="05 RB A-2 300kp Shop Sub St."/>
      <sheetName val="ST con. Sup. M.B."/>
      <sheetName val="SUP bar"/>
      <sheetName val=" L -1  sub R-bar for 200Kpa "/>
      <sheetName val=" Ar &amp; St"/>
      <sheetName val="PA(B-4)F"/>
      <sheetName val="PA(B-5)F"/>
      <sheetName val="PA(B-4)L"/>
      <sheetName val="Sub Structure BC = 300"/>
      <sheetName val="Roofing"/>
      <sheetName val="E-1 300kp Res. Sup St."/>
      <sheetName val="E-1 Block Work Residence"/>
      <sheetName val="Cash_flow_schedule_Phase_1&amp;22"/>
      <sheetName val="Week_42"/>
      <sheetName val="Week_4"/>
      <sheetName val="Week_41"/>
      <sheetName val="OPD takh_x0000_t_x0000_t"/>
      <sheetName val="05 A-2 300kp Shop Sup St."/>
      <sheetName val="OPD takh"/>
      <sheetName val="BOQ_block_3"/>
      <sheetName val="MEWD_"/>
      <sheetName val="SUB_BOQ"/>
      <sheetName val="05_Ar_&amp;_St"/>
      <sheetName val="A-2_blcok_work_Res_"/>
      <sheetName val="05_RB_A-2_200kp_Res__Sub_St_"/>
      <sheetName val="05_A-2_300kp_Sup_St_"/>
      <sheetName val="BOQ_block_31"/>
      <sheetName val="MEWD_1"/>
      <sheetName val="SUB_BOQ1"/>
      <sheetName val="05_Ar_&amp;_St1"/>
      <sheetName val="A-2_blcok_work_Res_1"/>
      <sheetName val="05_RB_A-2_200kp_Res__Sub_St_1"/>
      <sheetName val="05_A-2_300kp_Sup_St_1"/>
      <sheetName val="BOQ_block_32"/>
      <sheetName val="MEWD_2"/>
      <sheetName val="SUB_BOQ2"/>
      <sheetName val="05_Ar_&amp;_St2"/>
      <sheetName val="A-2_blcok_work_Res_2"/>
      <sheetName val="05_RB_A-2_200kp_Res__Sub_St_2"/>
      <sheetName val="05_A-2_300kp_Sup_St_2"/>
      <sheetName val="Service_quarter3"/>
      <sheetName val="Guard_house3"/>
      <sheetName val="Dry_latrine3"/>
      <sheetName val="site_san3"/>
      <sheetName val="electrical_site_work3"/>
      <sheetName val="Variation_work3"/>
      <sheetName val="OPD_take_off3"/>
      <sheetName val="Waiting_Takeoff3"/>
      <sheetName val="IPD_Takeoff3"/>
      <sheetName val="OR_takeoff3"/>
      <sheetName val="Labor_Budget3"/>
      <sheetName val="Break_Down__12"/>
      <sheetName val="Aca__Off_-_I12"/>
      <sheetName val="PROJECT_TRACKING12"/>
      <sheetName val="Income_Stmnt3"/>
      <sheetName val="Dining_Room_3"/>
      <sheetName val="08_Ar_&amp;_St3"/>
      <sheetName val="08_Summary3"/>
      <sheetName val="08_A-2_200kp_Resi_Sup_St_3"/>
      <sheetName val="Cash_flow_schedule_Phase_1&amp;23"/>
      <sheetName val="BOQ_block_33"/>
      <sheetName val="MEWD_3"/>
      <sheetName val="SUB_BOQ3"/>
      <sheetName val="Week_43"/>
      <sheetName val="05_Ar_&amp;_St3"/>
      <sheetName val="A-2_blcok_work_Res_3"/>
      <sheetName val="05_RB_A-2_200kp_Res__Sub_St_3"/>
      <sheetName val="05_A-2_300kp_Sup_St_3"/>
      <sheetName val="Lab__BOQ_"/>
      <sheetName val="Summary-2"/>
      <sheetName val="Final Direct Cost"/>
      <sheetName val="Summary Chash Flow"/>
      <sheetName val="Grand Summary"/>
      <sheetName val="BLOCK308"/>
      <sheetName val="RB E-1 300kp Res. Super St."/>
      <sheetName val="Title List"/>
      <sheetName val="Info"/>
      <sheetName val="PROJECT_TRACKING13"/>
      <sheetName val="Service_quarter4"/>
      <sheetName val="Guard_house4"/>
      <sheetName val="Dry_latrine4"/>
      <sheetName val="site_san4"/>
      <sheetName val="electrical_site_work4"/>
      <sheetName val="Variation_work4"/>
      <sheetName val="OPD_take_off4"/>
      <sheetName val="Waiting_Takeoff4"/>
      <sheetName val="IPD_Takeoff4"/>
      <sheetName val="OR_takeoff4"/>
      <sheetName val="Break_Down__13"/>
      <sheetName val="Aca__Off_-_I13"/>
      <sheetName val="Labor_Budget4"/>
      <sheetName val="Income_Stmnt4"/>
      <sheetName val="08_Ar_&amp;_St4"/>
      <sheetName val="08_Summary4"/>
      <sheetName val="08_A-2_200kp_Resi_Sup_St_4"/>
      <sheetName val="Dining_Room_4"/>
      <sheetName val="Cash_flow_schedule_Phase_1&amp;24"/>
      <sheetName val="BOQ_block_34"/>
      <sheetName val="_L_-1__sub_R-bar_"/>
      <sheetName val="L-1_200kpa_Res_Sub"/>
      <sheetName val="Exc_"/>
      <sheetName val="MEWD_4"/>
      <sheetName val="SUB_BOQ4"/>
      <sheetName val="Week_44"/>
      <sheetName val="05_Ar_&amp;_St4"/>
      <sheetName val="A-2_blcok_work_Res_4"/>
      <sheetName val="05_RB_A-2_200kp_Res__Sub_St_4"/>
      <sheetName val="05_A-2_300kp_Sup_St_4"/>
      <sheetName val="dia_8mm"/>
      <sheetName val="page_-_12_MWF_oct__qty"/>
      <sheetName val="coded_&amp;_priced_(4)"/>
      <sheetName val="dia_14mm"/>
      <sheetName val="CR-1_Roof_Water_Pro_"/>
      <sheetName val="dia_16mm"/>
      <sheetName val="dia_10mm"/>
      <sheetName val="dia_12mm"/>
      <sheetName val="dia_20mm"/>
      <sheetName val="dia_24mm"/>
      <sheetName val="page_-1_project_information"/>
      <sheetName val="summary_of_activitie_old"/>
      <sheetName val="Ar_&amp;_St"/>
      <sheetName val="Sub_Structure_BC_=_200"/>
      <sheetName val="PROJECT_TRACKING14"/>
      <sheetName val="Service_quarter5"/>
      <sheetName val="Guard_house5"/>
      <sheetName val="Dry_latrine5"/>
      <sheetName val="site_san5"/>
      <sheetName val="electrical_site_work5"/>
      <sheetName val="Variation_work5"/>
      <sheetName val="OPD_take_off5"/>
      <sheetName val="Waiting_Takeoff5"/>
      <sheetName val="IPD_Takeoff5"/>
      <sheetName val="OR_takeoff5"/>
      <sheetName val="Break_Down__14"/>
      <sheetName val="Aca__Off_-_I14"/>
      <sheetName val="Labor_Budget5"/>
      <sheetName val="Income_Stmnt5"/>
      <sheetName val="08_Ar_&amp;_St5"/>
      <sheetName val="08_Summary5"/>
      <sheetName val="08_A-2_200kp_Resi_Sup_St_5"/>
      <sheetName val="Dining_Room_5"/>
      <sheetName val="Cash_flow_schedule_Phase_1&amp;25"/>
      <sheetName val="BOQ_block_35"/>
      <sheetName val="_L_-1__sub_R-bar_1"/>
      <sheetName val="L-1_200kpa_Res_Sub1"/>
      <sheetName val="Exc_1"/>
      <sheetName val="MEWD_5"/>
      <sheetName val="SUB_BOQ5"/>
      <sheetName val="Week_45"/>
      <sheetName val="05_Ar_&amp;_St5"/>
      <sheetName val="A-2_blcok_work_Res_5"/>
      <sheetName val="05_RB_A-2_200kp_Res__Sub_St_5"/>
      <sheetName val="05_A-2_300kp_Sup_St_5"/>
      <sheetName val="Lab__BOQ_1"/>
      <sheetName val="dia_8mm1"/>
      <sheetName val="page_-_12_MWF_oct__qty1"/>
      <sheetName val="coded_&amp;_priced_(4)1"/>
      <sheetName val="dia_14mm1"/>
      <sheetName val="CR-1_Roof_Water_Pro_1"/>
      <sheetName val="dia_16mm1"/>
      <sheetName val="dia_10mm1"/>
      <sheetName val="dia_12mm1"/>
      <sheetName val="dia_20mm1"/>
      <sheetName val="dia_24mm1"/>
      <sheetName val="page_-1_project_information1"/>
      <sheetName val="summary_of_activitie_old1"/>
      <sheetName val="Ar_&amp;_St1"/>
      <sheetName val="Sub_Structure_BC_=_2001"/>
      <sheetName val="C. Material "/>
      <sheetName val="E. Equipments"/>
      <sheetName val="D. Labor "/>
      <sheetName val="PRECAST lightconc-II"/>
      <sheetName val="FEd BOQ"/>
      <sheetName val="Resource sheet"/>
      <sheetName val="cost breakdown"/>
      <sheetName val="Grand Summary page (2)"/>
      <sheetName val="Grand Summary page"/>
      <sheetName val="Dorm"/>
      <sheetName val="G+4"/>
      <sheetName val="Admins."/>
      <sheetName val="Generator house"/>
      <sheetName val="fence"/>
      <sheetName val=" Kitchen"/>
      <sheetName val="Recreation center"/>
      <sheetName val="Maint of exist wk"/>
      <sheetName val=" Dry Latrine"/>
      <sheetName val="Wash basin"/>
      <sheetName val="Distributin Board Houses"/>
      <sheetName val="Site Works "/>
      <sheetName val="Sheet3"/>
      <sheetName val="Raw Data"/>
      <sheetName val="OPD takh_x005f_x0000_t_x005f_x0000_t"/>
      <sheetName val="Bills_of_Quantities1"/>
      <sheetName val="perforated_sheet_cost_-Customs1"/>
      <sheetName val="Bills_of_Quantities"/>
      <sheetName val="perforated_sheet_cost_-Customs"/>
      <sheetName val="Bills_of_Quantities3"/>
      <sheetName val="Mob_II4"/>
      <sheetName val="Ls_Item4"/>
      <sheetName val="Lab__BOQ_3"/>
      <sheetName val="dia_8mm3"/>
      <sheetName val="page_-_12_MWF_oct__qty3"/>
      <sheetName val="coded_&amp;_priced_(4)3"/>
      <sheetName val="dia_14mm3"/>
      <sheetName val="CR-1_Roof_Water_Pro_3"/>
      <sheetName val="dia_16mm3"/>
      <sheetName val="dia_10mm3"/>
      <sheetName val="dia_12mm3"/>
      <sheetName val="dia_20mm3"/>
      <sheetName val="dia_24mm3"/>
      <sheetName val="page_-1_project_information3"/>
      <sheetName val="summary_of_activitie_old3"/>
      <sheetName val="Ar_&amp;_St3"/>
      <sheetName val="Sub_Structure_BC_=_2003"/>
      <sheetName val="perforated_sheet_cost_-Customs3"/>
      <sheetName val="ST_con__Sup__M_B_1"/>
      <sheetName val="SUP_bar1"/>
      <sheetName val="_analysis1"/>
      <sheetName val="_L_-1__sub_R-bar_for_200Kpa_1"/>
      <sheetName val="_Ar_&amp;_St1"/>
      <sheetName val="Sub_Structure_BC_=_3001"/>
      <sheetName val="E-1_300kp_Res__Sup_St_1"/>
      <sheetName val="05_RB_A-2_300kp_Shop_Sub_St_1"/>
      <sheetName val="Grand_Summary1"/>
      <sheetName val="OPD_takhtt"/>
      <sheetName val="Bills_of_Quantities2"/>
      <sheetName val="Mob_II3"/>
      <sheetName val="Ls_Item3"/>
      <sheetName val="Lab__BOQ_2"/>
      <sheetName val="dia_8mm2"/>
      <sheetName val="page_-_12_MWF_oct__qty2"/>
      <sheetName val="coded_&amp;_priced_(4)2"/>
      <sheetName val="dia_14mm2"/>
      <sheetName val="CR-1_Roof_Water_Pro_2"/>
      <sheetName val="dia_16mm2"/>
      <sheetName val="dia_10mm2"/>
      <sheetName val="dia_12mm2"/>
      <sheetName val="dia_20mm2"/>
      <sheetName val="dia_24mm2"/>
      <sheetName val="page_-1_project_information2"/>
      <sheetName val="summary_of_activitie_old2"/>
      <sheetName val="Ar_&amp;_St2"/>
      <sheetName val="Sub_Structure_BC_=_2002"/>
      <sheetName val="perforated_sheet_cost_-Customs2"/>
      <sheetName val="ST_con__Sup__M_B_"/>
      <sheetName val="SUP_bar"/>
      <sheetName val="_analysis"/>
      <sheetName val="_L_-1__sub_R-bar_for_200Kpa_"/>
      <sheetName val="_Ar_&amp;_St"/>
      <sheetName val="Sub_Structure_BC_=_300"/>
      <sheetName val="E-1_300kp_Res__Sup_St_"/>
      <sheetName val="05_RB_A-2_300kp_Shop_Sub_St_"/>
      <sheetName val="Grand_Summary"/>
      <sheetName val="Bills_of_Quantities4"/>
      <sheetName val="Mob_II5"/>
      <sheetName val="Ls_Item5"/>
      <sheetName val="Lab__BOQ_4"/>
      <sheetName val="dia_8mm4"/>
      <sheetName val="page_-_12_MWF_oct__qty4"/>
      <sheetName val="coded_&amp;_priced_(4)4"/>
      <sheetName val="dia_14mm4"/>
      <sheetName val="CR-1_Roof_Water_Pro_4"/>
      <sheetName val="dia_16mm4"/>
      <sheetName val="dia_10mm4"/>
      <sheetName val="dia_12mm4"/>
      <sheetName val="dia_20mm4"/>
      <sheetName val="dia_24mm4"/>
      <sheetName val="page_-1_project_information4"/>
      <sheetName val="summary_of_activitie_old4"/>
      <sheetName val="Ar_&amp;_St4"/>
      <sheetName val="Sub_Structure_BC_=_2004"/>
      <sheetName val="perforated_sheet_cost_-Customs4"/>
      <sheetName val="ST_con__Sup__M_B_2"/>
      <sheetName val="SUP_bar2"/>
      <sheetName val="_L_-1__sub_R-bar_2"/>
      <sheetName val="L-1_200kpa_Res_Sub2"/>
      <sheetName val="Exc_2"/>
      <sheetName val="_analysis2"/>
      <sheetName val="_L_-1__sub_R-bar_for_200Kpa_2"/>
      <sheetName val="_Ar_&amp;_St2"/>
      <sheetName val="Sub_Structure_BC_=_3002"/>
      <sheetName val="E-1_300kp_Res__Sup_St_2"/>
      <sheetName val="05_RB_A-2_300kp_Shop_Sub_St_2"/>
      <sheetName val="Grand_Summary2"/>
      <sheetName val="PROJECT_TRACKING15"/>
      <sheetName val="Service_quarter6"/>
      <sheetName val="Guard_house6"/>
      <sheetName val="Dry_latrine6"/>
      <sheetName val="site_san6"/>
      <sheetName val="electrical_site_work6"/>
      <sheetName val="Variation_work6"/>
      <sheetName val="OPD_take_off6"/>
      <sheetName val="Waiting_Takeoff6"/>
      <sheetName val="IPD_Takeoff6"/>
      <sheetName val="OR_takeoff6"/>
      <sheetName val="Income_Stmnt6"/>
      <sheetName val="Dining_Room_6"/>
      <sheetName val="Break_Down__15"/>
      <sheetName val="Aca__Off_-_I15"/>
      <sheetName val="08_Ar_&amp;_St6"/>
      <sheetName val="08_Summary6"/>
      <sheetName val="08_A-2_200kp_Resi_Sup_St_6"/>
      <sheetName val="Labor_Budget6"/>
      <sheetName val="Cash_flow_schedule_Phase_1&amp;26"/>
      <sheetName val="Bills_of_Quantities5"/>
      <sheetName val="Week_46"/>
      <sheetName val="Mob_II6"/>
      <sheetName val="Ls_Item6"/>
      <sheetName val="Lab__BOQ_5"/>
      <sheetName val="dia_8mm5"/>
      <sheetName val="page_-_12_MWF_oct__qty5"/>
      <sheetName val="coded_&amp;_priced_(4)5"/>
      <sheetName val="dia_14mm5"/>
      <sheetName val="CR-1_Roof_Water_Pro_5"/>
      <sheetName val="dia_16mm5"/>
      <sheetName val="dia_10mm5"/>
      <sheetName val="dia_12mm5"/>
      <sheetName val="dia_20mm5"/>
      <sheetName val="dia_24mm5"/>
      <sheetName val="page_-1_project_information5"/>
      <sheetName val="summary_of_activitie_old5"/>
      <sheetName val="Ar_&amp;_St5"/>
      <sheetName val="Sub_Structure_BC_=_2005"/>
      <sheetName val="perforated_sheet_cost_-Customs5"/>
      <sheetName val="ST_con__Sup__M_B_3"/>
      <sheetName val="SUP_bar3"/>
      <sheetName val="_L_-1__sub_R-bar_3"/>
      <sheetName val="L-1_200kpa_Res_Sub3"/>
      <sheetName val="Exc_3"/>
      <sheetName val="_analysis3"/>
      <sheetName val="_L_-1__sub_R-bar_for_200Kpa_3"/>
      <sheetName val="_Ar_&amp;_St3"/>
      <sheetName val="Sub_Structure_BC_=_3003"/>
      <sheetName val="E-1_300kp_Res__Sup_St_3"/>
      <sheetName val="05_RB_A-2_300kp_Shop_Sub_St_3"/>
      <sheetName val="Grand_Summary3"/>
      <sheetName val="PROJECT_TRACKING16"/>
      <sheetName val="Service_quarter7"/>
      <sheetName val="Guard_house7"/>
      <sheetName val="Dry_latrine7"/>
      <sheetName val="site_san7"/>
      <sheetName val="electrical_site_work7"/>
      <sheetName val="Variation_work7"/>
      <sheetName val="OPD_take_off7"/>
      <sheetName val="Waiting_Takeoff7"/>
      <sheetName val="IPD_Takeoff7"/>
      <sheetName val="OR_takeoff7"/>
      <sheetName val="Income_Stmnt7"/>
      <sheetName val="Dining_Room_7"/>
      <sheetName val="Break_Down__16"/>
      <sheetName val="Aca__Off_-_I16"/>
      <sheetName val="08_Ar_&amp;_St7"/>
      <sheetName val="08_Summary7"/>
      <sheetName val="08_A-2_200kp_Resi_Sup_St_7"/>
      <sheetName val="Labor_Budget7"/>
      <sheetName val="Cash_flow_schedule_Phase_1&amp;27"/>
      <sheetName val="Bills_of_Quantities6"/>
      <sheetName val="Week_47"/>
      <sheetName val="MEWD_6"/>
      <sheetName val="SUB_BOQ6"/>
      <sheetName val="BOQ_block_36"/>
      <sheetName val="Mob_II7"/>
      <sheetName val="Ls_Item7"/>
      <sheetName val="Lab__BOQ_6"/>
      <sheetName val="05_Ar_&amp;_St6"/>
      <sheetName val="A-2_blcok_work_Res_6"/>
      <sheetName val="05_RB_A-2_200kp_Res__Sub_St_6"/>
      <sheetName val="05_A-2_300kp_Sup_St_6"/>
      <sheetName val="dia_8mm6"/>
      <sheetName val="page_-_12_MWF_oct__qty6"/>
      <sheetName val="coded_&amp;_priced_(4)6"/>
      <sheetName val="dia_14mm6"/>
      <sheetName val="CR-1_Roof_Water_Pro_6"/>
      <sheetName val="dia_16mm6"/>
      <sheetName val="dia_10mm6"/>
      <sheetName val="dia_12mm6"/>
      <sheetName val="dia_20mm6"/>
      <sheetName val="dia_24mm6"/>
      <sheetName val="page_-1_project_information6"/>
      <sheetName val="summary_of_activitie_old6"/>
      <sheetName val="Ar_&amp;_St6"/>
      <sheetName val="Sub_Structure_BC_=_2006"/>
      <sheetName val="perforated_sheet_cost_-Customs6"/>
      <sheetName val="ST_con__Sup__M_B_4"/>
      <sheetName val="SUP_bar4"/>
      <sheetName val="_L_-1__sub_R-bar_4"/>
      <sheetName val="L-1_200kpa_Res_Sub4"/>
      <sheetName val="Exc_4"/>
      <sheetName val="_analysis4"/>
      <sheetName val="_L_-1__sub_R-bar_for_200Kpa_4"/>
      <sheetName val="_Ar_&amp;_St4"/>
      <sheetName val="Sub_Structure_BC_=_3004"/>
      <sheetName val="E-1_300kp_Res__Sup_St_4"/>
      <sheetName val="05_RB_A-2_300kp_Shop_Sub_St_4"/>
      <sheetName val="Grand_Summary4"/>
      <sheetName val="PROJECT_TRACKING17"/>
      <sheetName val="Service_quarter8"/>
      <sheetName val="Guard_house8"/>
      <sheetName val="Dry_latrine8"/>
      <sheetName val="site_san8"/>
      <sheetName val="electrical_site_work8"/>
      <sheetName val="Variation_work8"/>
      <sheetName val="OPD_take_off8"/>
      <sheetName val="Waiting_Takeoff8"/>
      <sheetName val="IPD_Takeoff8"/>
      <sheetName val="OR_takeoff8"/>
      <sheetName val="Income_Stmnt8"/>
      <sheetName val="Dining_Room_8"/>
      <sheetName val="Break_Down__17"/>
      <sheetName val="Aca__Off_-_I17"/>
      <sheetName val="08_Ar_&amp;_St8"/>
      <sheetName val="08_Summary8"/>
      <sheetName val="08_A-2_200kp_Resi_Sup_St_8"/>
      <sheetName val="Labor_Budget8"/>
      <sheetName val="Cash_flow_schedule_Phase_1&amp;28"/>
      <sheetName val="Bills_of_Quantities7"/>
      <sheetName val="Week_48"/>
      <sheetName val="MEWD_7"/>
      <sheetName val="SUB_BOQ7"/>
      <sheetName val="BOQ_block_37"/>
      <sheetName val="Mob_II8"/>
      <sheetName val="Ls_Item8"/>
      <sheetName val="Lab__BOQ_7"/>
      <sheetName val="05_Ar_&amp;_St7"/>
      <sheetName val="A-2_blcok_work_Res_7"/>
      <sheetName val="05_RB_A-2_200kp_Res__Sub_St_7"/>
      <sheetName val="05_A-2_300kp_Sup_St_7"/>
      <sheetName val="dia_8mm7"/>
      <sheetName val="page_-_12_MWF_oct__qty7"/>
      <sheetName val="coded_&amp;_priced_(4)7"/>
      <sheetName val="dia_14mm7"/>
      <sheetName val="CR-1_Roof_Water_Pro_7"/>
      <sheetName val="dia_16mm7"/>
      <sheetName val="dia_10mm7"/>
      <sheetName val="dia_12mm7"/>
      <sheetName val="dia_20mm7"/>
      <sheetName val="dia_24mm7"/>
      <sheetName val="page_-1_project_information7"/>
      <sheetName val="summary_of_activitie_old7"/>
      <sheetName val="Ar_&amp;_St7"/>
      <sheetName val="Sub_Structure_BC_=_2007"/>
      <sheetName val="perforated_sheet_cost_-Customs7"/>
      <sheetName val="ST_con__Sup__M_B_5"/>
      <sheetName val="SUP_bar5"/>
      <sheetName val="_L_-1__sub_R-bar_5"/>
      <sheetName val="L-1_200kpa_Res_Sub5"/>
      <sheetName val="Exc_5"/>
      <sheetName val="_analysis5"/>
      <sheetName val="_L_-1__sub_R-bar_for_200Kpa_5"/>
      <sheetName val="_Ar_&amp;_St5"/>
      <sheetName val="Sub_Structure_BC_=_3005"/>
      <sheetName val="E-1_300kp_Res__Sup_St_5"/>
      <sheetName val="05_RB_A-2_300kp_Shop_Sub_St_5"/>
      <sheetName val="Grand_Summary5"/>
      <sheetName val="Certificate Pay 1"/>
      <sheetName val="Labor"/>
      <sheetName val="Material"/>
      <sheetName val="Super BOQ"/>
      <sheetName val="Supr Rebar"/>
      <sheetName val="E-1 200kp  Sup St."/>
      <sheetName val="RB E-1 200kp Res. Sub St."/>
      <sheetName val="E-1 200kp Res. Sub St."/>
      <sheetName val="간선계산"/>
      <sheetName val="ST"/>
      <sheetName val="Data"/>
      <sheetName val="Excav"/>
      <sheetName val="AR&amp;ST REV"/>
      <sheetName val="Mat.datal"/>
      <sheetName val="TOS NO-7 FACTORY"/>
      <sheetName val="TOS-NO-7 UG TANK"/>
      <sheetName val="05_A-2_300kp_Shop_Sup_St_"/>
      <sheetName val="Final_Direct_Cost"/>
      <sheetName val="EST PAYM"/>
      <sheetName val="DATA SHEET"/>
      <sheetName val="sheet18"/>
      <sheetName val="Sheet4"/>
      <sheetName val="management"/>
      <sheetName val="AUX DATA"/>
      <sheetName val="Bitumen &amp; Emulsions"/>
      <sheetName val="AUX DC SUMARY"/>
      <sheetName val="AUX RATES"/>
      <sheetName val="AUX HOURS"/>
      <sheetName val="General cost"/>
      <sheetName val="Lot-2A(Rev.Bill )"/>
      <sheetName val="Lot-2B(Rev. Bill)"/>
      <sheetName val="Lot-1(Rev. Bill )"/>
      <sheetName val="PA(B-2)L"/>
      <sheetName val="JUCK"/>
      <sheetName val="PHY&amp;FIN PROG."/>
      <sheetName val="DIR Man power Rep"/>
      <sheetName val="DIR MP DATA "/>
      <sheetName val="INDIR MP Rep"/>
      <sheetName val="sub cont. work"/>
      <sheetName val="RHS and Latice Pulin "/>
      <sheetName val="Plastering for Res."/>
      <sheetName val="05 Sub Structure BC = 300"/>
      <sheetName val="05 RB A-2 300kp Res. Sub St."/>
      <sheetName val="05 Summary"/>
      <sheetName val="Daily_feed"/>
      <sheetName val="Re Bar-Super str."/>
      <sheetName val="L-2 Rhs"/>
      <sheetName val="L-2 MEWD Standard"/>
      <sheetName val="L-2 Resi Sub Standard."/>
      <sheetName val="DAF-2"/>
      <sheetName val="자압"/>
      <sheetName val="Loading and analysis"/>
      <sheetName val="SUB ST"/>
      <sheetName val="Bill off sheet (12)"/>
      <sheetName val="300 AR-ST"/>
      <sheetName val="Break_Down__20"/>
      <sheetName val="Aca__Off_-_I20"/>
      <sheetName val="Service_quarter11"/>
      <sheetName val="Guard_house11"/>
      <sheetName val="Dry_latrine11"/>
      <sheetName val="site_san11"/>
      <sheetName val="electrical_site_work11"/>
      <sheetName val="Variation_work11"/>
      <sheetName val="OPD_take_off11"/>
      <sheetName val="Waiting_Takeoff11"/>
      <sheetName val="IPD_Takeoff11"/>
      <sheetName val="OR_takeoff11"/>
      <sheetName val="Income_Stmnt11"/>
      <sheetName val="PROJECT_TRACKING20"/>
      <sheetName val="Labor_Budget11"/>
      <sheetName val="08_Ar_&amp;_St11"/>
      <sheetName val="08_Summary11"/>
      <sheetName val="08_A-2_200kp_Resi_Sup_St_11"/>
      <sheetName val="Week_411"/>
      <sheetName val="Cash_flow_schedule_Phase_1&amp;211"/>
      <sheetName val="Dining_Room_11"/>
      <sheetName val="MEWD_10"/>
      <sheetName val="BOQ_block_310"/>
      <sheetName val="Lab__BOQ_10"/>
      <sheetName val="05_Ar_&amp;_St10"/>
      <sheetName val="A-2_blcok_work_Res_10"/>
      <sheetName val="05_RB_A-2_200kp_Res__Sub_St_10"/>
      <sheetName val="05_A-2_300kp_Sup_St_10"/>
      <sheetName val="_L_-1__sub_R-bar_8"/>
      <sheetName val="L-1_200kpa_Res_Sub8"/>
      <sheetName val="Exc_8"/>
      <sheetName val="05_RB_A-2_300kp_Shop_Sub_St_8"/>
      <sheetName val="SUB_BOQ10"/>
      <sheetName val="Mob_II11"/>
      <sheetName val="Ls_Item11"/>
      <sheetName val="_analysis8"/>
      <sheetName val="page_-1_project_information10"/>
      <sheetName val="summary_of_activitie_old10"/>
      <sheetName val="dia_8mm10"/>
      <sheetName val="page_-_12_MWF_oct__qty10"/>
      <sheetName val="coded_&amp;_priced_(4)10"/>
      <sheetName val="dia_14mm10"/>
      <sheetName val="CR-1_Roof_Water_Pro_10"/>
      <sheetName val="dia_16mm10"/>
      <sheetName val="dia_10mm10"/>
      <sheetName val="dia_12mm10"/>
      <sheetName val="dia_20mm10"/>
      <sheetName val="dia_24mm10"/>
      <sheetName val="Ar_&amp;_St10"/>
      <sheetName val="Sub_Structure_BC_=_20010"/>
      <sheetName val="_L_-1__sub_R-bar_for_200Kpa_8"/>
      <sheetName val="_Ar_&amp;_St8"/>
      <sheetName val="05_A-2_300kp_Shop_Sup_St_3"/>
      <sheetName val="perforated_sheet_cost_-Custom10"/>
      <sheetName val="Sub_Structure_BC_=_3008"/>
      <sheetName val="E-1_300kp_Res__Sup_St_8"/>
      <sheetName val="Final_Direct_Cost3"/>
      <sheetName val="Bills_of_Quantities10"/>
      <sheetName val="Grand_Summary8"/>
      <sheetName val="Summary_Chash_Flow2"/>
      <sheetName val="Title_List2"/>
      <sheetName val="ST_con__Sup__M_B_8"/>
      <sheetName val="SUP_bar8"/>
      <sheetName val="E-1_Block_Work_Residence2"/>
      <sheetName val="05_A-2_300kp_Res__Sup_St_2"/>
      <sheetName val="RB_E-1_300kp_Res__Super_St_2"/>
      <sheetName val="Certificate_Pay_12"/>
      <sheetName val="Super_BOQ2"/>
      <sheetName val="Supr_Rebar2"/>
      <sheetName val="OPD_takh2"/>
      <sheetName val="PRECAST_lightconc-II2"/>
      <sheetName val="Raw_Data2"/>
      <sheetName val="C__Material_2"/>
      <sheetName val="E__Equipments2"/>
      <sheetName val="D__Labor_2"/>
      <sheetName val="RB_E-1_200kp_Res__Sub_St_2"/>
      <sheetName val="E-1_200kp_Res__Sub_St_2"/>
      <sheetName val="E-1_200kp__Sup_St_2"/>
      <sheetName val="OPD_takh_x005f_x0000_t_x005f_x0000_t2"/>
      <sheetName val="Service_quarter9"/>
      <sheetName val="Guard_house9"/>
      <sheetName val="Dry_latrine9"/>
      <sheetName val="site_san9"/>
      <sheetName val="electrical_site_work9"/>
      <sheetName val="Variation_work9"/>
      <sheetName val="OPD_take_off9"/>
      <sheetName val="Waiting_Takeoff9"/>
      <sheetName val="IPD_Takeoff9"/>
      <sheetName val="OR_takeoff9"/>
      <sheetName val="PROJECT_TRACKING18"/>
      <sheetName val="Break_Down__18"/>
      <sheetName val="Aca__Off_-_I18"/>
      <sheetName val="Labor_Budget9"/>
      <sheetName val="Income_Stmnt9"/>
      <sheetName val="08_Ar_&amp;_St9"/>
      <sheetName val="08_Summary9"/>
      <sheetName val="08_A-2_200kp_Resi_Sup_St_9"/>
      <sheetName val="Dining_Room_9"/>
      <sheetName val="Cash_flow_schedule_Phase_1&amp;29"/>
      <sheetName val="05_Ar_&amp;_St8"/>
      <sheetName val="A-2_blcok_work_Res_8"/>
      <sheetName val="05_RB_A-2_200kp_Res__Sub_St_8"/>
      <sheetName val="05_A-2_300kp_Sup_St_8"/>
      <sheetName val="BOQ_block_38"/>
      <sheetName val="Week_49"/>
      <sheetName val="MEWD_8"/>
      <sheetName val="SUB_BOQ8"/>
      <sheetName val="Lab__BOQ_8"/>
      <sheetName val="Mob_II9"/>
      <sheetName val="Ls_Item9"/>
      <sheetName val="dia_8mm8"/>
      <sheetName val="page_-_12_MWF_oct__qty8"/>
      <sheetName val="coded_&amp;_priced_(4)8"/>
      <sheetName val="dia_14mm8"/>
      <sheetName val="CR-1_Roof_Water_Pro_8"/>
      <sheetName val="dia_16mm8"/>
      <sheetName val="dia_10mm8"/>
      <sheetName val="dia_12mm8"/>
      <sheetName val="dia_20mm8"/>
      <sheetName val="dia_24mm8"/>
      <sheetName val="page_-1_project_information8"/>
      <sheetName val="summary_of_activitie_old8"/>
      <sheetName val="Ar_&amp;_St8"/>
      <sheetName val="Sub_Structure_BC_=_2008"/>
      <sheetName val="_L_-1__sub_R-bar_for_200Kpa_6"/>
      <sheetName val="_Ar_&amp;_St6"/>
      <sheetName val="_analysis6"/>
      <sheetName val="_L_-1__sub_R-bar_6"/>
      <sheetName val="L-1_200kpa_Res_Sub6"/>
      <sheetName val="Exc_6"/>
      <sheetName val="05_RB_A-2_300kp_Shop_Sub_St_6"/>
      <sheetName val="Summary_Chash_Flow"/>
      <sheetName val="perforated_sheet_cost_-Customs8"/>
      <sheetName val="Sub_Structure_BC_=_3006"/>
      <sheetName val="E-1_300kp_Res__Sup_St_6"/>
      <sheetName val="Grand_Summary6"/>
      <sheetName val="Bills_of_Quantities8"/>
      <sheetName val="Final_Direct_Cost1"/>
      <sheetName val="05_A-2_300kp_Shop_Sup_St_1"/>
      <sheetName val="PRECAST_lightconc-II"/>
      <sheetName val="05_A-2_300kp_Res__Sup_St_"/>
      <sheetName val="ST_con__Sup__M_B_6"/>
      <sheetName val="SUP_bar6"/>
      <sheetName val="E-1_Block_Work_Residence"/>
      <sheetName val="RB_E-1_300kp_Res__Super_St_"/>
      <sheetName val="OPD_takh"/>
      <sheetName val="Certificate_Pay_1"/>
      <sheetName val="Title_List"/>
      <sheetName val="RB_E-1_200kp_Res__Sub_St_"/>
      <sheetName val="E-1_200kp_Res__Sub_St_"/>
      <sheetName val="E-1_200kp__Sup_St_"/>
      <sheetName val="Super_BOQ"/>
      <sheetName val="Supr_Rebar"/>
      <sheetName val="Raw_Data"/>
      <sheetName val="C__Material_"/>
      <sheetName val="E__Equipments"/>
      <sheetName val="D__Labor_"/>
      <sheetName val="OPD_takh_x005f_x0000_t_x005f_x0000_t"/>
      <sheetName val="Break_Down__19"/>
      <sheetName val="Aca__Off_-_I19"/>
      <sheetName val="Service_quarter10"/>
      <sheetName val="Guard_house10"/>
      <sheetName val="Dry_latrine10"/>
      <sheetName val="site_san10"/>
      <sheetName val="electrical_site_work10"/>
      <sheetName val="Variation_work10"/>
      <sheetName val="OPD_take_off10"/>
      <sheetName val="Waiting_Takeoff10"/>
      <sheetName val="IPD_Takeoff10"/>
      <sheetName val="OR_takeoff10"/>
      <sheetName val="Income_Stmnt10"/>
      <sheetName val="PROJECT_TRACKING19"/>
      <sheetName val="Labor_Budget10"/>
      <sheetName val="08_Ar_&amp;_St10"/>
      <sheetName val="08_Summary10"/>
      <sheetName val="08_A-2_200kp_Resi_Sup_St_10"/>
      <sheetName val="Week_410"/>
      <sheetName val="Cash_flow_schedule_Phase_1&amp;210"/>
      <sheetName val="Dining_Room_10"/>
      <sheetName val="MEWD_9"/>
      <sheetName val="BOQ_block_39"/>
      <sheetName val="Lab__BOQ_9"/>
      <sheetName val="05_Ar_&amp;_St9"/>
      <sheetName val="A-2_blcok_work_Res_9"/>
      <sheetName val="05_RB_A-2_200kp_Res__Sub_St_9"/>
      <sheetName val="05_A-2_300kp_Sup_St_9"/>
      <sheetName val="_L_-1__sub_R-bar_7"/>
      <sheetName val="L-1_200kpa_Res_Sub7"/>
      <sheetName val="Exc_7"/>
      <sheetName val="05_RB_A-2_300kp_Shop_Sub_St_7"/>
      <sheetName val="SUB_BOQ9"/>
      <sheetName val="Mob_II10"/>
      <sheetName val="Ls_Item10"/>
      <sheetName val="_analysis7"/>
      <sheetName val="page_-1_project_information9"/>
      <sheetName val="summary_of_activitie_old9"/>
      <sheetName val="dia_8mm9"/>
      <sheetName val="page_-_12_MWF_oct__qty9"/>
      <sheetName val="coded_&amp;_priced_(4)9"/>
      <sheetName val="dia_14mm9"/>
      <sheetName val="CR-1_Roof_Water_Pro_9"/>
      <sheetName val="dia_16mm9"/>
      <sheetName val="dia_10mm9"/>
      <sheetName val="dia_12mm9"/>
      <sheetName val="dia_20mm9"/>
      <sheetName val="dia_24mm9"/>
      <sheetName val="Ar_&amp;_St9"/>
      <sheetName val="Sub_Structure_BC_=_2009"/>
      <sheetName val="_L_-1__sub_R-bar_for_200Kpa_7"/>
      <sheetName val="_Ar_&amp;_St7"/>
      <sheetName val="05_A-2_300kp_Shop_Sup_St_2"/>
      <sheetName val="perforated_sheet_cost_-Customs9"/>
      <sheetName val="Sub_Structure_BC_=_3007"/>
      <sheetName val="E-1_300kp_Res__Sup_St_7"/>
      <sheetName val="Final_Direct_Cost2"/>
      <sheetName val="Bills_of_Quantities9"/>
      <sheetName val="Grand_Summary7"/>
      <sheetName val="Summary_Chash_Flow1"/>
      <sheetName val="Title_List1"/>
      <sheetName val="ST_con__Sup__M_B_7"/>
      <sheetName val="SUP_bar7"/>
      <sheetName val="E-1_Block_Work_Residence1"/>
      <sheetName val="05_A-2_300kp_Res__Sup_St_1"/>
      <sheetName val="RB_E-1_300kp_Res__Super_St_1"/>
      <sheetName val="Certificate_Pay_11"/>
      <sheetName val="Super_BOQ1"/>
      <sheetName val="Supr_Rebar1"/>
      <sheetName val="OPD_takh1"/>
      <sheetName val="PRECAST_lightconc-II1"/>
      <sheetName val="Raw_Data1"/>
      <sheetName val="C__Material_1"/>
      <sheetName val="E__Equipments1"/>
      <sheetName val="D__Labor_1"/>
      <sheetName val="RB_E-1_200kp_Res__Sub_St_1"/>
      <sheetName val="E-1_200kp_Res__Sub_St_1"/>
      <sheetName val="E-1_200kp__Sup_St_1"/>
      <sheetName val="OPD_takh_x005f_x0000_t_x005f_x0000_t1"/>
      <sheetName val="PROJECT_TRACKING21"/>
      <sheetName val="Break_Down__21"/>
      <sheetName val="Aca__Off_-_I21"/>
      <sheetName val="Service_quarter12"/>
      <sheetName val="Guard_house12"/>
      <sheetName val="Dry_latrine12"/>
      <sheetName val="site_san12"/>
      <sheetName val="electrical_site_work12"/>
      <sheetName val="Variation_work12"/>
      <sheetName val="OPD_take_off12"/>
      <sheetName val="Waiting_Takeoff12"/>
      <sheetName val="IPD_Takeoff12"/>
      <sheetName val="OR_takeoff12"/>
      <sheetName val="Labor_Budget12"/>
      <sheetName val="Income_Stmnt12"/>
      <sheetName val="08_Ar_&amp;_St12"/>
      <sheetName val="08_Summary12"/>
      <sheetName val="08_A-2_200kp_Resi_Sup_St_12"/>
      <sheetName val="Dining_Room_12"/>
      <sheetName val="05_Ar_&amp;_St11"/>
      <sheetName val="A-2_blcok_work_Res_11"/>
      <sheetName val="05_RB_A-2_200kp_Res__Sub_St_11"/>
      <sheetName val="05_A-2_300kp_Sup_St_11"/>
      <sheetName val="Cash_flow_schedule_Phase_1&amp;212"/>
      <sheetName val="Week_412"/>
      <sheetName val="BOQ_block_311"/>
      <sheetName val="Mob_II12"/>
      <sheetName val="Ls_Item12"/>
      <sheetName val="MEWD_11"/>
      <sheetName val="dia_8mm11"/>
      <sheetName val="page_-_12_MWF_oct__qty11"/>
      <sheetName val="coded_&amp;_priced_(4)11"/>
      <sheetName val="dia_14mm11"/>
      <sheetName val="CR-1_Roof_Water_Pro_11"/>
      <sheetName val="dia_16mm11"/>
      <sheetName val="dia_10mm11"/>
      <sheetName val="dia_12mm11"/>
      <sheetName val="dia_20mm11"/>
      <sheetName val="dia_24mm11"/>
      <sheetName val="page_-1_project_information11"/>
      <sheetName val="summary_of_activitie_old11"/>
      <sheetName val="Lab__BOQ_11"/>
      <sheetName val="SUB_BOQ11"/>
      <sheetName val="Ar_&amp;_St11"/>
      <sheetName val="Sub_Structure_BC_=_20011"/>
      <sheetName val="Bills_of_Quantities11"/>
      <sheetName val="perforated_sheet_cost_-Custom11"/>
      <sheetName val="_L_-1__sub_R-bar_9"/>
      <sheetName val="L-1_200kpa_Res_Sub9"/>
      <sheetName val="Exc_9"/>
      <sheetName val="_analysis9"/>
      <sheetName val="_L_-1__sub_R-bar_for_200Kpa_9"/>
      <sheetName val="_Ar_&amp;_St9"/>
      <sheetName val="Sub_Structure_BC_=_3009"/>
      <sheetName val="E-1_300kp_Res__Sup_St_9"/>
      <sheetName val="05_RB_A-2_300kp_Shop_Sub_St_9"/>
      <sheetName val="Grand_Summary9"/>
      <sheetName val="Summary_Chash_Flow3"/>
      <sheetName val="Final_Direct_Cost4"/>
      <sheetName val="Title_List3"/>
      <sheetName val="ST_con__Sup__M_B_9"/>
      <sheetName val="SUP_bar9"/>
      <sheetName val="05_A-2_300kp_Shop_Sup_St_4"/>
      <sheetName val="E-1_Block_Work_Residence3"/>
      <sheetName val="05_A-2_300kp_Res__Sup_St_3"/>
      <sheetName val="RB_E-1_300kp_Res__Super_St_3"/>
      <sheetName val="Certificate_Pay_13"/>
      <sheetName val="Super_BOQ3"/>
      <sheetName val="Supr_Rebar3"/>
      <sheetName val="OPD_takh3"/>
      <sheetName val="PRECAST_lightconc-II3"/>
      <sheetName val="Raw_Data3"/>
      <sheetName val="C__Material_3"/>
      <sheetName val="E__Equipments3"/>
      <sheetName val="D__Labor_3"/>
      <sheetName val="RB_E-1_200kp_Res__Sub_St_3"/>
      <sheetName val="E-1_200kp_Res__Sub_St_3"/>
      <sheetName val="E-1_200kp__Sup_St_3"/>
      <sheetName val="OPD_takh_x005f_x0000_t_x005f_x0000_t3"/>
    </sheetNames>
    <sheetDataSet>
      <sheetData sheetId="0">
        <row r="51">
          <cell r="G51">
            <v>11.8125</v>
          </cell>
        </row>
      </sheetData>
      <sheetData sheetId="1">
        <row r="51">
          <cell r="G51">
            <v>11.8125</v>
          </cell>
        </row>
      </sheetData>
      <sheetData sheetId="2">
        <row r="51">
          <cell r="G51">
            <v>11.8125</v>
          </cell>
        </row>
      </sheetData>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refreshError="1"/>
      <sheetData sheetId="195"/>
      <sheetData sheetId="196"/>
      <sheetData sheetId="197"/>
      <sheetData sheetId="198"/>
      <sheetData sheetId="199"/>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sheetData sheetId="209" refreshError="1"/>
      <sheetData sheetId="210" refreshError="1"/>
      <sheetData sheetId="211" refreshError="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refreshError="1"/>
      <sheetData sheetId="628" refreshError="1"/>
      <sheetData sheetId="629"/>
      <sheetData sheetId="630"/>
      <sheetData sheetId="631"/>
      <sheetData sheetId="632"/>
      <sheetData sheetId="633"/>
      <sheetData sheetId="634"/>
      <sheetData sheetId="635"/>
      <sheetData sheetId="636"/>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r &amp; St"/>
      <sheetName val="Block Summary"/>
      <sheetName val="Summary"/>
      <sheetName val=" Sub Structure BC = 300"/>
      <sheetName val=" E2 Res (EXC&amp;MAS300kp)"/>
      <sheetName val="Excavation data "/>
      <sheetName val="masonary data"/>
      <sheetName val=" E2 Res TAKOFF(con sub300kp)"/>
      <sheetName val=" TAKE OFF(form sub 300kp)"/>
      <sheetName val="E2 Res TAKE OFF(ref sub 300 kp)"/>
      <sheetName val="take off con sup"/>
      <sheetName val="take off formwork sup"/>
      <sheetName val="R-bar sup"/>
      <sheetName val="Block Work Res."/>
      <sheetName val="Plate &amp; J-bolt"/>
    </sheetNames>
    <sheetDataSet>
      <sheetData sheetId="0" refreshError="1">
        <row r="7">
          <cell r="J7" t="str">
            <v>Todate Qty</v>
          </cell>
        </row>
        <row r="39">
          <cell r="M39">
            <v>437754.31000000006</v>
          </cell>
        </row>
        <row r="77">
          <cell r="M77">
            <v>2646</v>
          </cell>
        </row>
      </sheetData>
      <sheetData sheetId="1">
        <row r="14">
          <cell r="E14">
            <v>0</v>
          </cell>
        </row>
      </sheetData>
      <sheetData sheetId="2">
        <row r="14">
          <cell r="E14">
            <v>0</v>
          </cell>
        </row>
      </sheetData>
      <sheetData sheetId="3">
        <row r="7">
          <cell r="J7" t="str">
            <v>Todate Qty</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 BOQ"/>
      <sheetName val="Supr Rebar"/>
    </sheetNames>
    <sheetDataSet>
      <sheetData sheetId="0" refreshError="1"/>
      <sheetData sheetId="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60" zoomScaleNormal="100" workbookViewId="0">
      <selection activeCell="A10" sqref="A10:J11"/>
    </sheetView>
  </sheetViews>
  <sheetFormatPr defaultColWidth="0" defaultRowHeight="14.4"/>
  <cols>
    <col min="1" max="1" width="9.44140625" style="65" customWidth="1"/>
    <col min="2" max="9" width="9.44140625" style="58" customWidth="1"/>
    <col min="10" max="10" width="5" style="58" customWidth="1"/>
    <col min="11" max="254" width="9.109375" style="58" customWidth="1"/>
    <col min="255" max="256" width="0" style="58" hidden="1"/>
    <col min="257" max="257" width="34.109375" style="58" customWidth="1"/>
    <col min="258" max="258" width="28.6640625" style="58" customWidth="1"/>
    <col min="259" max="259" width="32.109375" style="58" customWidth="1"/>
    <col min="260" max="260" width="4" style="58" customWidth="1"/>
    <col min="261" max="262" width="17.44140625" style="58" bestFit="1" customWidth="1"/>
    <col min="263" max="263" width="19.109375" style="58" customWidth="1"/>
    <col min="264" max="510" width="9.109375" style="58" customWidth="1"/>
    <col min="511" max="512" width="0" style="58" hidden="1"/>
    <col min="513" max="513" width="34.109375" style="58" customWidth="1"/>
    <col min="514" max="514" width="28.6640625" style="58" customWidth="1"/>
    <col min="515" max="515" width="32.109375" style="58" customWidth="1"/>
    <col min="516" max="516" width="4" style="58" customWidth="1"/>
    <col min="517" max="518" width="17.44140625" style="58" bestFit="1" customWidth="1"/>
    <col min="519" max="519" width="19.109375" style="58" customWidth="1"/>
    <col min="520" max="766" width="9.109375" style="58" customWidth="1"/>
    <col min="767" max="768" width="0" style="58" hidden="1"/>
    <col min="769" max="769" width="34.109375" style="58" customWidth="1"/>
    <col min="770" max="770" width="28.6640625" style="58" customWidth="1"/>
    <col min="771" max="771" width="32.109375" style="58" customWidth="1"/>
    <col min="772" max="772" width="4" style="58" customWidth="1"/>
    <col min="773" max="774" width="17.44140625" style="58" bestFit="1" customWidth="1"/>
    <col min="775" max="775" width="19.109375" style="58" customWidth="1"/>
    <col min="776" max="1022" width="9.109375" style="58" customWidth="1"/>
    <col min="1023" max="1024" width="0" style="58" hidden="1"/>
    <col min="1025" max="1025" width="34.109375" style="58" customWidth="1"/>
    <col min="1026" max="1026" width="28.6640625" style="58" customWidth="1"/>
    <col min="1027" max="1027" width="32.109375" style="58" customWidth="1"/>
    <col min="1028" max="1028" width="4" style="58" customWidth="1"/>
    <col min="1029" max="1030" width="17.44140625" style="58" bestFit="1" customWidth="1"/>
    <col min="1031" max="1031" width="19.109375" style="58" customWidth="1"/>
    <col min="1032" max="1278" width="9.109375" style="58" customWidth="1"/>
    <col min="1279" max="1280" width="0" style="58" hidden="1"/>
    <col min="1281" max="1281" width="34.109375" style="58" customWidth="1"/>
    <col min="1282" max="1282" width="28.6640625" style="58" customWidth="1"/>
    <col min="1283" max="1283" width="32.109375" style="58" customWidth="1"/>
    <col min="1284" max="1284" width="4" style="58" customWidth="1"/>
    <col min="1285" max="1286" width="17.44140625" style="58" bestFit="1" customWidth="1"/>
    <col min="1287" max="1287" width="19.109375" style="58" customWidth="1"/>
    <col min="1288" max="1534" width="9.109375" style="58" customWidth="1"/>
    <col min="1535" max="1536" width="0" style="58" hidden="1"/>
    <col min="1537" max="1537" width="34.109375" style="58" customWidth="1"/>
    <col min="1538" max="1538" width="28.6640625" style="58" customWidth="1"/>
    <col min="1539" max="1539" width="32.109375" style="58" customWidth="1"/>
    <col min="1540" max="1540" width="4" style="58" customWidth="1"/>
    <col min="1541" max="1542" width="17.44140625" style="58" bestFit="1" customWidth="1"/>
    <col min="1543" max="1543" width="19.109375" style="58" customWidth="1"/>
    <col min="1544" max="1790" width="9.109375" style="58" customWidth="1"/>
    <col min="1791" max="1792" width="0" style="58" hidden="1"/>
    <col min="1793" max="1793" width="34.109375" style="58" customWidth="1"/>
    <col min="1794" max="1794" width="28.6640625" style="58" customWidth="1"/>
    <col min="1795" max="1795" width="32.109375" style="58" customWidth="1"/>
    <col min="1796" max="1796" width="4" style="58" customWidth="1"/>
    <col min="1797" max="1798" width="17.44140625" style="58" bestFit="1" customWidth="1"/>
    <col min="1799" max="1799" width="19.109375" style="58" customWidth="1"/>
    <col min="1800" max="2046" width="9.109375" style="58" customWidth="1"/>
    <col min="2047" max="2048" width="0" style="58" hidden="1"/>
    <col min="2049" max="2049" width="34.109375" style="58" customWidth="1"/>
    <col min="2050" max="2050" width="28.6640625" style="58" customWidth="1"/>
    <col min="2051" max="2051" width="32.109375" style="58" customWidth="1"/>
    <col min="2052" max="2052" width="4" style="58" customWidth="1"/>
    <col min="2053" max="2054" width="17.44140625" style="58" bestFit="1" customWidth="1"/>
    <col min="2055" max="2055" width="19.109375" style="58" customWidth="1"/>
    <col min="2056" max="2302" width="9.109375" style="58" customWidth="1"/>
    <col min="2303" max="2304" width="0" style="58" hidden="1"/>
    <col min="2305" max="2305" width="34.109375" style="58" customWidth="1"/>
    <col min="2306" max="2306" width="28.6640625" style="58" customWidth="1"/>
    <col min="2307" max="2307" width="32.109375" style="58" customWidth="1"/>
    <col min="2308" max="2308" width="4" style="58" customWidth="1"/>
    <col min="2309" max="2310" width="17.44140625" style="58" bestFit="1" customWidth="1"/>
    <col min="2311" max="2311" width="19.109375" style="58" customWidth="1"/>
    <col min="2312" max="2558" width="9.109375" style="58" customWidth="1"/>
    <col min="2559" max="2560" width="0" style="58" hidden="1"/>
    <col min="2561" max="2561" width="34.109375" style="58" customWidth="1"/>
    <col min="2562" max="2562" width="28.6640625" style="58" customWidth="1"/>
    <col min="2563" max="2563" width="32.109375" style="58" customWidth="1"/>
    <col min="2564" max="2564" width="4" style="58" customWidth="1"/>
    <col min="2565" max="2566" width="17.44140625" style="58" bestFit="1" customWidth="1"/>
    <col min="2567" max="2567" width="19.109375" style="58" customWidth="1"/>
    <col min="2568" max="2814" width="9.109375" style="58" customWidth="1"/>
    <col min="2815" max="2816" width="0" style="58" hidden="1"/>
    <col min="2817" max="2817" width="34.109375" style="58" customWidth="1"/>
    <col min="2818" max="2818" width="28.6640625" style="58" customWidth="1"/>
    <col min="2819" max="2819" width="32.109375" style="58" customWidth="1"/>
    <col min="2820" max="2820" width="4" style="58" customWidth="1"/>
    <col min="2821" max="2822" width="17.44140625" style="58" bestFit="1" customWidth="1"/>
    <col min="2823" max="2823" width="19.109375" style="58" customWidth="1"/>
    <col min="2824" max="3070" width="9.109375" style="58" customWidth="1"/>
    <col min="3071" max="3072" width="0" style="58" hidden="1"/>
    <col min="3073" max="3073" width="34.109375" style="58" customWidth="1"/>
    <col min="3074" max="3074" width="28.6640625" style="58" customWidth="1"/>
    <col min="3075" max="3075" width="32.109375" style="58" customWidth="1"/>
    <col min="3076" max="3076" width="4" style="58" customWidth="1"/>
    <col min="3077" max="3078" width="17.44140625" style="58" bestFit="1" customWidth="1"/>
    <col min="3079" max="3079" width="19.109375" style="58" customWidth="1"/>
    <col min="3080" max="3326" width="9.109375" style="58" customWidth="1"/>
    <col min="3327" max="3328" width="0" style="58" hidden="1"/>
    <col min="3329" max="3329" width="34.109375" style="58" customWidth="1"/>
    <col min="3330" max="3330" width="28.6640625" style="58" customWidth="1"/>
    <col min="3331" max="3331" width="32.109375" style="58" customWidth="1"/>
    <col min="3332" max="3332" width="4" style="58" customWidth="1"/>
    <col min="3333" max="3334" width="17.44140625" style="58" bestFit="1" customWidth="1"/>
    <col min="3335" max="3335" width="19.109375" style="58" customWidth="1"/>
    <col min="3336" max="3582" width="9.109375" style="58" customWidth="1"/>
    <col min="3583" max="3584" width="0" style="58" hidden="1"/>
    <col min="3585" max="3585" width="34.109375" style="58" customWidth="1"/>
    <col min="3586" max="3586" width="28.6640625" style="58" customWidth="1"/>
    <col min="3587" max="3587" width="32.109375" style="58" customWidth="1"/>
    <col min="3588" max="3588" width="4" style="58" customWidth="1"/>
    <col min="3589" max="3590" width="17.44140625" style="58" bestFit="1" customWidth="1"/>
    <col min="3591" max="3591" width="19.109375" style="58" customWidth="1"/>
    <col min="3592" max="3838" width="9.109375" style="58" customWidth="1"/>
    <col min="3839" max="3840" width="0" style="58" hidden="1"/>
    <col min="3841" max="3841" width="34.109375" style="58" customWidth="1"/>
    <col min="3842" max="3842" width="28.6640625" style="58" customWidth="1"/>
    <col min="3843" max="3843" width="32.109375" style="58" customWidth="1"/>
    <col min="3844" max="3844" width="4" style="58" customWidth="1"/>
    <col min="3845" max="3846" width="17.44140625" style="58" bestFit="1" customWidth="1"/>
    <col min="3847" max="3847" width="19.109375" style="58" customWidth="1"/>
    <col min="3848" max="4094" width="9.109375" style="58" customWidth="1"/>
    <col min="4095" max="4096" width="0" style="58" hidden="1"/>
    <col min="4097" max="4097" width="34.109375" style="58" customWidth="1"/>
    <col min="4098" max="4098" width="28.6640625" style="58" customWidth="1"/>
    <col min="4099" max="4099" width="32.109375" style="58" customWidth="1"/>
    <col min="4100" max="4100" width="4" style="58" customWidth="1"/>
    <col min="4101" max="4102" width="17.44140625" style="58" bestFit="1" customWidth="1"/>
    <col min="4103" max="4103" width="19.109375" style="58" customWidth="1"/>
    <col min="4104" max="4350" width="9.109375" style="58" customWidth="1"/>
    <col min="4351" max="4352" width="0" style="58" hidden="1"/>
    <col min="4353" max="4353" width="34.109375" style="58" customWidth="1"/>
    <col min="4354" max="4354" width="28.6640625" style="58" customWidth="1"/>
    <col min="4355" max="4355" width="32.109375" style="58" customWidth="1"/>
    <col min="4356" max="4356" width="4" style="58" customWidth="1"/>
    <col min="4357" max="4358" width="17.44140625" style="58" bestFit="1" customWidth="1"/>
    <col min="4359" max="4359" width="19.109375" style="58" customWidth="1"/>
    <col min="4360" max="4606" width="9.109375" style="58" customWidth="1"/>
    <col min="4607" max="4608" width="0" style="58" hidden="1"/>
    <col min="4609" max="4609" width="34.109375" style="58" customWidth="1"/>
    <col min="4610" max="4610" width="28.6640625" style="58" customWidth="1"/>
    <col min="4611" max="4611" width="32.109375" style="58" customWidth="1"/>
    <col min="4612" max="4612" width="4" style="58" customWidth="1"/>
    <col min="4613" max="4614" width="17.44140625" style="58" bestFit="1" customWidth="1"/>
    <col min="4615" max="4615" width="19.109375" style="58" customWidth="1"/>
    <col min="4616" max="4862" width="9.109375" style="58" customWidth="1"/>
    <col min="4863" max="4864" width="0" style="58" hidden="1"/>
    <col min="4865" max="4865" width="34.109375" style="58" customWidth="1"/>
    <col min="4866" max="4866" width="28.6640625" style="58" customWidth="1"/>
    <col min="4867" max="4867" width="32.109375" style="58" customWidth="1"/>
    <col min="4868" max="4868" width="4" style="58" customWidth="1"/>
    <col min="4869" max="4870" width="17.44140625" style="58" bestFit="1" customWidth="1"/>
    <col min="4871" max="4871" width="19.109375" style="58" customWidth="1"/>
    <col min="4872" max="5118" width="9.109375" style="58" customWidth="1"/>
    <col min="5119" max="5120" width="0" style="58" hidden="1"/>
    <col min="5121" max="5121" width="34.109375" style="58" customWidth="1"/>
    <col min="5122" max="5122" width="28.6640625" style="58" customWidth="1"/>
    <col min="5123" max="5123" width="32.109375" style="58" customWidth="1"/>
    <col min="5124" max="5124" width="4" style="58" customWidth="1"/>
    <col min="5125" max="5126" width="17.44140625" style="58" bestFit="1" customWidth="1"/>
    <col min="5127" max="5127" width="19.109375" style="58" customWidth="1"/>
    <col min="5128" max="5374" width="9.109375" style="58" customWidth="1"/>
    <col min="5375" max="5376" width="0" style="58" hidden="1"/>
    <col min="5377" max="5377" width="34.109375" style="58" customWidth="1"/>
    <col min="5378" max="5378" width="28.6640625" style="58" customWidth="1"/>
    <col min="5379" max="5379" width="32.109375" style="58" customWidth="1"/>
    <col min="5380" max="5380" width="4" style="58" customWidth="1"/>
    <col min="5381" max="5382" width="17.44140625" style="58" bestFit="1" customWidth="1"/>
    <col min="5383" max="5383" width="19.109375" style="58" customWidth="1"/>
    <col min="5384" max="5630" width="9.109375" style="58" customWidth="1"/>
    <col min="5631" max="5632" width="0" style="58" hidden="1"/>
    <col min="5633" max="5633" width="34.109375" style="58" customWidth="1"/>
    <col min="5634" max="5634" width="28.6640625" style="58" customWidth="1"/>
    <col min="5635" max="5635" width="32.109375" style="58" customWidth="1"/>
    <col min="5636" max="5636" width="4" style="58" customWidth="1"/>
    <col min="5637" max="5638" width="17.44140625" style="58" bestFit="1" customWidth="1"/>
    <col min="5639" max="5639" width="19.109375" style="58" customWidth="1"/>
    <col min="5640" max="5886" width="9.109375" style="58" customWidth="1"/>
    <col min="5887" max="5888" width="0" style="58" hidden="1"/>
    <col min="5889" max="5889" width="34.109375" style="58" customWidth="1"/>
    <col min="5890" max="5890" width="28.6640625" style="58" customWidth="1"/>
    <col min="5891" max="5891" width="32.109375" style="58" customWidth="1"/>
    <col min="5892" max="5892" width="4" style="58" customWidth="1"/>
    <col min="5893" max="5894" width="17.44140625" style="58" bestFit="1" customWidth="1"/>
    <col min="5895" max="5895" width="19.109375" style="58" customWidth="1"/>
    <col min="5896" max="6142" width="9.109375" style="58" customWidth="1"/>
    <col min="6143" max="6144" width="0" style="58" hidden="1"/>
    <col min="6145" max="6145" width="34.109375" style="58" customWidth="1"/>
    <col min="6146" max="6146" width="28.6640625" style="58" customWidth="1"/>
    <col min="6147" max="6147" width="32.109375" style="58" customWidth="1"/>
    <col min="6148" max="6148" width="4" style="58" customWidth="1"/>
    <col min="6149" max="6150" width="17.44140625" style="58" bestFit="1" customWidth="1"/>
    <col min="6151" max="6151" width="19.109375" style="58" customWidth="1"/>
    <col min="6152" max="6398" width="9.109375" style="58" customWidth="1"/>
    <col min="6399" max="6400" width="0" style="58" hidden="1"/>
    <col min="6401" max="6401" width="34.109375" style="58" customWidth="1"/>
    <col min="6402" max="6402" width="28.6640625" style="58" customWidth="1"/>
    <col min="6403" max="6403" width="32.109375" style="58" customWidth="1"/>
    <col min="6404" max="6404" width="4" style="58" customWidth="1"/>
    <col min="6405" max="6406" width="17.44140625" style="58" bestFit="1" customWidth="1"/>
    <col min="6407" max="6407" width="19.109375" style="58" customWidth="1"/>
    <col min="6408" max="6654" width="9.109375" style="58" customWidth="1"/>
    <col min="6655" max="6656" width="0" style="58" hidden="1"/>
    <col min="6657" max="6657" width="34.109375" style="58" customWidth="1"/>
    <col min="6658" max="6658" width="28.6640625" style="58" customWidth="1"/>
    <col min="6659" max="6659" width="32.109375" style="58" customWidth="1"/>
    <col min="6660" max="6660" width="4" style="58" customWidth="1"/>
    <col min="6661" max="6662" width="17.44140625" style="58" bestFit="1" customWidth="1"/>
    <col min="6663" max="6663" width="19.109375" style="58" customWidth="1"/>
    <col min="6664" max="6910" width="9.109375" style="58" customWidth="1"/>
    <col min="6911" max="6912" width="0" style="58" hidden="1"/>
    <col min="6913" max="6913" width="34.109375" style="58" customWidth="1"/>
    <col min="6914" max="6914" width="28.6640625" style="58" customWidth="1"/>
    <col min="6915" max="6915" width="32.109375" style="58" customWidth="1"/>
    <col min="6916" max="6916" width="4" style="58" customWidth="1"/>
    <col min="6917" max="6918" width="17.44140625" style="58" bestFit="1" customWidth="1"/>
    <col min="6919" max="6919" width="19.109375" style="58" customWidth="1"/>
    <col min="6920" max="7166" width="9.109375" style="58" customWidth="1"/>
    <col min="7167" max="7168" width="0" style="58" hidden="1"/>
    <col min="7169" max="7169" width="34.109375" style="58" customWidth="1"/>
    <col min="7170" max="7170" width="28.6640625" style="58" customWidth="1"/>
    <col min="7171" max="7171" width="32.109375" style="58" customWidth="1"/>
    <col min="7172" max="7172" width="4" style="58" customWidth="1"/>
    <col min="7173" max="7174" width="17.44140625" style="58" bestFit="1" customWidth="1"/>
    <col min="7175" max="7175" width="19.109375" style="58" customWidth="1"/>
    <col min="7176" max="7422" width="9.109375" style="58" customWidth="1"/>
    <col min="7423" max="7424" width="0" style="58" hidden="1"/>
    <col min="7425" max="7425" width="34.109375" style="58" customWidth="1"/>
    <col min="7426" max="7426" width="28.6640625" style="58" customWidth="1"/>
    <col min="7427" max="7427" width="32.109375" style="58" customWidth="1"/>
    <col min="7428" max="7428" width="4" style="58" customWidth="1"/>
    <col min="7429" max="7430" width="17.44140625" style="58" bestFit="1" customWidth="1"/>
    <col min="7431" max="7431" width="19.109375" style="58" customWidth="1"/>
    <col min="7432" max="7678" width="9.109375" style="58" customWidth="1"/>
    <col min="7679" max="7680" width="0" style="58" hidden="1"/>
    <col min="7681" max="7681" width="34.109375" style="58" customWidth="1"/>
    <col min="7682" max="7682" width="28.6640625" style="58" customWidth="1"/>
    <col min="7683" max="7683" width="32.109375" style="58" customWidth="1"/>
    <col min="7684" max="7684" width="4" style="58" customWidth="1"/>
    <col min="7685" max="7686" width="17.44140625" style="58" bestFit="1" customWidth="1"/>
    <col min="7687" max="7687" width="19.109375" style="58" customWidth="1"/>
    <col min="7688" max="7934" width="9.109375" style="58" customWidth="1"/>
    <col min="7935" max="7936" width="0" style="58" hidden="1"/>
    <col min="7937" max="7937" width="34.109375" style="58" customWidth="1"/>
    <col min="7938" max="7938" width="28.6640625" style="58" customWidth="1"/>
    <col min="7939" max="7939" width="32.109375" style="58" customWidth="1"/>
    <col min="7940" max="7940" width="4" style="58" customWidth="1"/>
    <col min="7941" max="7942" width="17.44140625" style="58" bestFit="1" customWidth="1"/>
    <col min="7943" max="7943" width="19.109375" style="58" customWidth="1"/>
    <col min="7944" max="8190" width="9.109375" style="58" customWidth="1"/>
    <col min="8191" max="8192" width="0" style="58" hidden="1"/>
    <col min="8193" max="8193" width="34.109375" style="58" customWidth="1"/>
    <col min="8194" max="8194" width="28.6640625" style="58" customWidth="1"/>
    <col min="8195" max="8195" width="32.109375" style="58" customWidth="1"/>
    <col min="8196" max="8196" width="4" style="58" customWidth="1"/>
    <col min="8197" max="8198" width="17.44140625" style="58" bestFit="1" customWidth="1"/>
    <col min="8199" max="8199" width="19.109375" style="58" customWidth="1"/>
    <col min="8200" max="8446" width="9.109375" style="58" customWidth="1"/>
    <col min="8447" max="8448" width="0" style="58" hidden="1"/>
    <col min="8449" max="8449" width="34.109375" style="58" customWidth="1"/>
    <col min="8450" max="8450" width="28.6640625" style="58" customWidth="1"/>
    <col min="8451" max="8451" width="32.109375" style="58" customWidth="1"/>
    <col min="8452" max="8452" width="4" style="58" customWidth="1"/>
    <col min="8453" max="8454" width="17.44140625" style="58" bestFit="1" customWidth="1"/>
    <col min="8455" max="8455" width="19.109375" style="58" customWidth="1"/>
    <col min="8456" max="8702" width="9.109375" style="58" customWidth="1"/>
    <col min="8703" max="8704" width="0" style="58" hidden="1"/>
    <col min="8705" max="8705" width="34.109375" style="58" customWidth="1"/>
    <col min="8706" max="8706" width="28.6640625" style="58" customWidth="1"/>
    <col min="8707" max="8707" width="32.109375" style="58" customWidth="1"/>
    <col min="8708" max="8708" width="4" style="58" customWidth="1"/>
    <col min="8709" max="8710" width="17.44140625" style="58" bestFit="1" customWidth="1"/>
    <col min="8711" max="8711" width="19.109375" style="58" customWidth="1"/>
    <col min="8712" max="8958" width="9.109375" style="58" customWidth="1"/>
    <col min="8959" max="8960" width="0" style="58" hidden="1"/>
    <col min="8961" max="8961" width="34.109375" style="58" customWidth="1"/>
    <col min="8962" max="8962" width="28.6640625" style="58" customWidth="1"/>
    <col min="8963" max="8963" width="32.109375" style="58" customWidth="1"/>
    <col min="8964" max="8964" width="4" style="58" customWidth="1"/>
    <col min="8965" max="8966" width="17.44140625" style="58" bestFit="1" customWidth="1"/>
    <col min="8967" max="8967" width="19.109375" style="58" customWidth="1"/>
    <col min="8968" max="9214" width="9.109375" style="58" customWidth="1"/>
    <col min="9215" max="9216" width="0" style="58" hidden="1"/>
    <col min="9217" max="9217" width="34.109375" style="58" customWidth="1"/>
    <col min="9218" max="9218" width="28.6640625" style="58" customWidth="1"/>
    <col min="9219" max="9219" width="32.109375" style="58" customWidth="1"/>
    <col min="9220" max="9220" width="4" style="58" customWidth="1"/>
    <col min="9221" max="9222" width="17.44140625" style="58" bestFit="1" customWidth="1"/>
    <col min="9223" max="9223" width="19.109375" style="58" customWidth="1"/>
    <col min="9224" max="9470" width="9.109375" style="58" customWidth="1"/>
    <col min="9471" max="9472" width="0" style="58" hidden="1"/>
    <col min="9473" max="9473" width="34.109375" style="58" customWidth="1"/>
    <col min="9474" max="9474" width="28.6640625" style="58" customWidth="1"/>
    <col min="9475" max="9475" width="32.109375" style="58" customWidth="1"/>
    <col min="9476" max="9476" width="4" style="58" customWidth="1"/>
    <col min="9477" max="9478" width="17.44140625" style="58" bestFit="1" customWidth="1"/>
    <col min="9479" max="9479" width="19.109375" style="58" customWidth="1"/>
    <col min="9480" max="9726" width="9.109375" style="58" customWidth="1"/>
    <col min="9727" max="9728" width="0" style="58" hidden="1"/>
    <col min="9729" max="9729" width="34.109375" style="58" customWidth="1"/>
    <col min="9730" max="9730" width="28.6640625" style="58" customWidth="1"/>
    <col min="9731" max="9731" width="32.109375" style="58" customWidth="1"/>
    <col min="9732" max="9732" width="4" style="58" customWidth="1"/>
    <col min="9733" max="9734" width="17.44140625" style="58" bestFit="1" customWidth="1"/>
    <col min="9735" max="9735" width="19.109375" style="58" customWidth="1"/>
    <col min="9736" max="9982" width="9.109375" style="58" customWidth="1"/>
    <col min="9983" max="9984" width="0" style="58" hidden="1"/>
    <col min="9985" max="9985" width="34.109375" style="58" customWidth="1"/>
    <col min="9986" max="9986" width="28.6640625" style="58" customWidth="1"/>
    <col min="9987" max="9987" width="32.109375" style="58" customWidth="1"/>
    <col min="9988" max="9988" width="4" style="58" customWidth="1"/>
    <col min="9989" max="9990" width="17.44140625" style="58" bestFit="1" customWidth="1"/>
    <col min="9991" max="9991" width="19.109375" style="58" customWidth="1"/>
    <col min="9992" max="10238" width="9.109375" style="58" customWidth="1"/>
    <col min="10239" max="10240" width="0" style="58" hidden="1"/>
    <col min="10241" max="10241" width="34.109375" style="58" customWidth="1"/>
    <col min="10242" max="10242" width="28.6640625" style="58" customWidth="1"/>
    <col min="10243" max="10243" width="32.109375" style="58" customWidth="1"/>
    <col min="10244" max="10244" width="4" style="58" customWidth="1"/>
    <col min="10245" max="10246" width="17.44140625" style="58" bestFit="1" customWidth="1"/>
    <col min="10247" max="10247" width="19.109375" style="58" customWidth="1"/>
    <col min="10248" max="10494" width="9.109375" style="58" customWidth="1"/>
    <col min="10495" max="10496" width="0" style="58" hidden="1"/>
    <col min="10497" max="10497" width="34.109375" style="58" customWidth="1"/>
    <col min="10498" max="10498" width="28.6640625" style="58" customWidth="1"/>
    <col min="10499" max="10499" width="32.109375" style="58" customWidth="1"/>
    <col min="10500" max="10500" width="4" style="58" customWidth="1"/>
    <col min="10501" max="10502" width="17.44140625" style="58" bestFit="1" customWidth="1"/>
    <col min="10503" max="10503" width="19.109375" style="58" customWidth="1"/>
    <col min="10504" max="10750" width="9.109375" style="58" customWidth="1"/>
    <col min="10751" max="10752" width="0" style="58" hidden="1"/>
    <col min="10753" max="10753" width="34.109375" style="58" customWidth="1"/>
    <col min="10754" max="10754" width="28.6640625" style="58" customWidth="1"/>
    <col min="10755" max="10755" width="32.109375" style="58" customWidth="1"/>
    <col min="10756" max="10756" width="4" style="58" customWidth="1"/>
    <col min="10757" max="10758" width="17.44140625" style="58" bestFit="1" customWidth="1"/>
    <col min="10759" max="10759" width="19.109375" style="58" customWidth="1"/>
    <col min="10760" max="11006" width="9.109375" style="58" customWidth="1"/>
    <col min="11007" max="11008" width="0" style="58" hidden="1"/>
    <col min="11009" max="11009" width="34.109375" style="58" customWidth="1"/>
    <col min="11010" max="11010" width="28.6640625" style="58" customWidth="1"/>
    <col min="11011" max="11011" width="32.109375" style="58" customWidth="1"/>
    <col min="11012" max="11012" width="4" style="58" customWidth="1"/>
    <col min="11013" max="11014" width="17.44140625" style="58" bestFit="1" customWidth="1"/>
    <col min="11015" max="11015" width="19.109375" style="58" customWidth="1"/>
    <col min="11016" max="11262" width="9.109375" style="58" customWidth="1"/>
    <col min="11263" max="11264" width="0" style="58" hidden="1"/>
    <col min="11265" max="11265" width="34.109375" style="58" customWidth="1"/>
    <col min="11266" max="11266" width="28.6640625" style="58" customWidth="1"/>
    <col min="11267" max="11267" width="32.109375" style="58" customWidth="1"/>
    <col min="11268" max="11268" width="4" style="58" customWidth="1"/>
    <col min="11269" max="11270" width="17.44140625" style="58" bestFit="1" customWidth="1"/>
    <col min="11271" max="11271" width="19.109375" style="58" customWidth="1"/>
    <col min="11272" max="11518" width="9.109375" style="58" customWidth="1"/>
    <col min="11519" max="11520" width="0" style="58" hidden="1"/>
    <col min="11521" max="11521" width="34.109375" style="58" customWidth="1"/>
    <col min="11522" max="11522" width="28.6640625" style="58" customWidth="1"/>
    <col min="11523" max="11523" width="32.109375" style="58" customWidth="1"/>
    <col min="11524" max="11524" width="4" style="58" customWidth="1"/>
    <col min="11525" max="11526" width="17.44140625" style="58" bestFit="1" customWidth="1"/>
    <col min="11527" max="11527" width="19.109375" style="58" customWidth="1"/>
    <col min="11528" max="11774" width="9.109375" style="58" customWidth="1"/>
    <col min="11775" max="11776" width="0" style="58" hidden="1"/>
    <col min="11777" max="11777" width="34.109375" style="58" customWidth="1"/>
    <col min="11778" max="11778" width="28.6640625" style="58" customWidth="1"/>
    <col min="11779" max="11779" width="32.109375" style="58" customWidth="1"/>
    <col min="11780" max="11780" width="4" style="58" customWidth="1"/>
    <col min="11781" max="11782" width="17.44140625" style="58" bestFit="1" customWidth="1"/>
    <col min="11783" max="11783" width="19.109375" style="58" customWidth="1"/>
    <col min="11784" max="12030" width="9.109375" style="58" customWidth="1"/>
    <col min="12031" max="12032" width="0" style="58" hidden="1"/>
    <col min="12033" max="12033" width="34.109375" style="58" customWidth="1"/>
    <col min="12034" max="12034" width="28.6640625" style="58" customWidth="1"/>
    <col min="12035" max="12035" width="32.109375" style="58" customWidth="1"/>
    <col min="12036" max="12036" width="4" style="58" customWidth="1"/>
    <col min="12037" max="12038" width="17.44140625" style="58" bestFit="1" customWidth="1"/>
    <col min="12039" max="12039" width="19.109375" style="58" customWidth="1"/>
    <col min="12040" max="12286" width="9.109375" style="58" customWidth="1"/>
    <col min="12287" max="12288" width="0" style="58" hidden="1"/>
    <col min="12289" max="12289" width="34.109375" style="58" customWidth="1"/>
    <col min="12290" max="12290" width="28.6640625" style="58" customWidth="1"/>
    <col min="12291" max="12291" width="32.109375" style="58" customWidth="1"/>
    <col min="12292" max="12292" width="4" style="58" customWidth="1"/>
    <col min="12293" max="12294" width="17.44140625" style="58" bestFit="1" customWidth="1"/>
    <col min="12295" max="12295" width="19.109375" style="58" customWidth="1"/>
    <col min="12296" max="12542" width="9.109375" style="58" customWidth="1"/>
    <col min="12543" max="12544" width="0" style="58" hidden="1"/>
    <col min="12545" max="12545" width="34.109375" style="58" customWidth="1"/>
    <col min="12546" max="12546" width="28.6640625" style="58" customWidth="1"/>
    <col min="12547" max="12547" width="32.109375" style="58" customWidth="1"/>
    <col min="12548" max="12548" width="4" style="58" customWidth="1"/>
    <col min="12549" max="12550" width="17.44140625" style="58" bestFit="1" customWidth="1"/>
    <col min="12551" max="12551" width="19.109375" style="58" customWidth="1"/>
    <col min="12552" max="12798" width="9.109375" style="58" customWidth="1"/>
    <col min="12799" max="12800" width="0" style="58" hidden="1"/>
    <col min="12801" max="12801" width="34.109375" style="58" customWidth="1"/>
    <col min="12802" max="12802" width="28.6640625" style="58" customWidth="1"/>
    <col min="12803" max="12803" width="32.109375" style="58" customWidth="1"/>
    <col min="12804" max="12804" width="4" style="58" customWidth="1"/>
    <col min="12805" max="12806" width="17.44140625" style="58" bestFit="1" customWidth="1"/>
    <col min="12807" max="12807" width="19.109375" style="58" customWidth="1"/>
    <col min="12808" max="13054" width="9.109375" style="58" customWidth="1"/>
    <col min="13055" max="13056" width="0" style="58" hidden="1"/>
    <col min="13057" max="13057" width="34.109375" style="58" customWidth="1"/>
    <col min="13058" max="13058" width="28.6640625" style="58" customWidth="1"/>
    <col min="13059" max="13059" width="32.109375" style="58" customWidth="1"/>
    <col min="13060" max="13060" width="4" style="58" customWidth="1"/>
    <col min="13061" max="13062" width="17.44140625" style="58" bestFit="1" customWidth="1"/>
    <col min="13063" max="13063" width="19.109375" style="58" customWidth="1"/>
    <col min="13064" max="13310" width="9.109375" style="58" customWidth="1"/>
    <col min="13311" max="13312" width="0" style="58" hidden="1"/>
    <col min="13313" max="13313" width="34.109375" style="58" customWidth="1"/>
    <col min="13314" max="13314" width="28.6640625" style="58" customWidth="1"/>
    <col min="13315" max="13315" width="32.109375" style="58" customWidth="1"/>
    <col min="13316" max="13316" width="4" style="58" customWidth="1"/>
    <col min="13317" max="13318" width="17.44140625" style="58" bestFit="1" customWidth="1"/>
    <col min="13319" max="13319" width="19.109375" style="58" customWidth="1"/>
    <col min="13320" max="13566" width="9.109375" style="58" customWidth="1"/>
    <col min="13567" max="13568" width="0" style="58" hidden="1"/>
    <col min="13569" max="13569" width="34.109375" style="58" customWidth="1"/>
    <col min="13570" max="13570" width="28.6640625" style="58" customWidth="1"/>
    <col min="13571" max="13571" width="32.109375" style="58" customWidth="1"/>
    <col min="13572" max="13572" width="4" style="58" customWidth="1"/>
    <col min="13573" max="13574" width="17.44140625" style="58" bestFit="1" customWidth="1"/>
    <col min="13575" max="13575" width="19.109375" style="58" customWidth="1"/>
    <col min="13576" max="13822" width="9.109375" style="58" customWidth="1"/>
    <col min="13823" max="13824" width="0" style="58" hidden="1"/>
    <col min="13825" max="13825" width="34.109375" style="58" customWidth="1"/>
    <col min="13826" max="13826" width="28.6640625" style="58" customWidth="1"/>
    <col min="13827" max="13827" width="32.109375" style="58" customWidth="1"/>
    <col min="13828" max="13828" width="4" style="58" customWidth="1"/>
    <col min="13829" max="13830" width="17.44140625" style="58" bestFit="1" customWidth="1"/>
    <col min="13831" max="13831" width="19.109375" style="58" customWidth="1"/>
    <col min="13832" max="14078" width="9.109375" style="58" customWidth="1"/>
    <col min="14079" max="14080" width="0" style="58" hidden="1"/>
    <col min="14081" max="14081" width="34.109375" style="58" customWidth="1"/>
    <col min="14082" max="14082" width="28.6640625" style="58" customWidth="1"/>
    <col min="14083" max="14083" width="32.109375" style="58" customWidth="1"/>
    <col min="14084" max="14084" width="4" style="58" customWidth="1"/>
    <col min="14085" max="14086" width="17.44140625" style="58" bestFit="1" customWidth="1"/>
    <col min="14087" max="14087" width="19.109375" style="58" customWidth="1"/>
    <col min="14088" max="14334" width="9.109375" style="58" customWidth="1"/>
    <col min="14335" max="14336" width="0" style="58" hidden="1"/>
    <col min="14337" max="14337" width="34.109375" style="58" customWidth="1"/>
    <col min="14338" max="14338" width="28.6640625" style="58" customWidth="1"/>
    <col min="14339" max="14339" width="32.109375" style="58" customWidth="1"/>
    <col min="14340" max="14340" width="4" style="58" customWidth="1"/>
    <col min="14341" max="14342" width="17.44140625" style="58" bestFit="1" customWidth="1"/>
    <col min="14343" max="14343" width="19.109375" style="58" customWidth="1"/>
    <col min="14344" max="14590" width="9.109375" style="58" customWidth="1"/>
    <col min="14591" max="14592" width="0" style="58" hidden="1"/>
    <col min="14593" max="14593" width="34.109375" style="58" customWidth="1"/>
    <col min="14594" max="14594" width="28.6640625" style="58" customWidth="1"/>
    <col min="14595" max="14595" width="32.109375" style="58" customWidth="1"/>
    <col min="14596" max="14596" width="4" style="58" customWidth="1"/>
    <col min="14597" max="14598" width="17.44140625" style="58" bestFit="1" customWidth="1"/>
    <col min="14599" max="14599" width="19.109375" style="58" customWidth="1"/>
    <col min="14600" max="14846" width="9.109375" style="58" customWidth="1"/>
    <col min="14847" max="14848" width="0" style="58" hidden="1"/>
    <col min="14849" max="14849" width="34.109375" style="58" customWidth="1"/>
    <col min="14850" max="14850" width="28.6640625" style="58" customWidth="1"/>
    <col min="14851" max="14851" width="32.109375" style="58" customWidth="1"/>
    <col min="14852" max="14852" width="4" style="58" customWidth="1"/>
    <col min="14853" max="14854" width="17.44140625" style="58" bestFit="1" customWidth="1"/>
    <col min="14855" max="14855" width="19.109375" style="58" customWidth="1"/>
    <col min="14856" max="15102" width="9.109375" style="58" customWidth="1"/>
    <col min="15103" max="15104" width="0" style="58" hidden="1"/>
    <col min="15105" max="15105" width="34.109375" style="58" customWidth="1"/>
    <col min="15106" max="15106" width="28.6640625" style="58" customWidth="1"/>
    <col min="15107" max="15107" width="32.109375" style="58" customWidth="1"/>
    <col min="15108" max="15108" width="4" style="58" customWidth="1"/>
    <col min="15109" max="15110" width="17.44140625" style="58" bestFit="1" customWidth="1"/>
    <col min="15111" max="15111" width="19.109375" style="58" customWidth="1"/>
    <col min="15112" max="15358" width="9.109375" style="58" customWidth="1"/>
    <col min="15359" max="15360" width="0" style="58" hidden="1"/>
    <col min="15361" max="15361" width="34.109375" style="58" customWidth="1"/>
    <col min="15362" max="15362" width="28.6640625" style="58" customWidth="1"/>
    <col min="15363" max="15363" width="32.109375" style="58" customWidth="1"/>
    <col min="15364" max="15364" width="4" style="58" customWidth="1"/>
    <col min="15365" max="15366" width="17.44140625" style="58" bestFit="1" customWidth="1"/>
    <col min="15367" max="15367" width="19.109375" style="58" customWidth="1"/>
    <col min="15368" max="15614" width="9.109375" style="58" customWidth="1"/>
    <col min="15615" max="15616" width="0" style="58" hidden="1"/>
    <col min="15617" max="15617" width="34.109375" style="58" customWidth="1"/>
    <col min="15618" max="15618" width="28.6640625" style="58" customWidth="1"/>
    <col min="15619" max="15619" width="32.109375" style="58" customWidth="1"/>
    <col min="15620" max="15620" width="4" style="58" customWidth="1"/>
    <col min="15621" max="15622" width="17.44140625" style="58" bestFit="1" customWidth="1"/>
    <col min="15623" max="15623" width="19.109375" style="58" customWidth="1"/>
    <col min="15624" max="15870" width="9.109375" style="58" customWidth="1"/>
    <col min="15871" max="15872" width="0" style="58" hidden="1"/>
    <col min="15873" max="15873" width="34.109375" style="58" customWidth="1"/>
    <col min="15874" max="15874" width="28.6640625" style="58" customWidth="1"/>
    <col min="15875" max="15875" width="32.109375" style="58" customWidth="1"/>
    <col min="15876" max="15876" width="4" style="58" customWidth="1"/>
    <col min="15877" max="15878" width="17.44140625" style="58" bestFit="1" customWidth="1"/>
    <col min="15879" max="15879" width="19.109375" style="58" customWidth="1"/>
    <col min="15880" max="16126" width="9.109375" style="58" customWidth="1"/>
    <col min="16127" max="16128" width="0" style="58" hidden="1"/>
    <col min="16129" max="16129" width="34.109375" style="58" customWidth="1"/>
    <col min="16130" max="16130" width="28.6640625" style="58" customWidth="1"/>
    <col min="16131" max="16131" width="32.109375" style="58" customWidth="1"/>
    <col min="16132" max="16132" width="4" style="58" customWidth="1"/>
    <col min="16133" max="16134" width="17.44140625" style="58" bestFit="1" customWidth="1"/>
    <col min="16135" max="16135" width="19.109375" style="58" customWidth="1"/>
    <col min="16136" max="16382" width="9.109375" style="58" customWidth="1"/>
    <col min="16383" max="16384" width="0" style="58" hidden="1"/>
  </cols>
  <sheetData>
    <row r="1" spans="1:10" s="38" customFormat="1" ht="16.2" thickTop="1">
      <c r="A1" s="244" t="s">
        <v>102</v>
      </c>
      <c r="B1" s="245"/>
      <c r="C1" s="245"/>
      <c r="D1" s="245"/>
      <c r="E1" s="245"/>
      <c r="F1" s="245"/>
      <c r="G1" s="245"/>
      <c r="H1" s="245"/>
      <c r="I1" s="245"/>
      <c r="J1" s="246"/>
    </row>
    <row r="2" spans="1:10" s="38" customFormat="1" ht="15.6">
      <c r="A2" s="247"/>
      <c r="B2" s="248"/>
      <c r="C2" s="248"/>
      <c r="D2" s="248"/>
      <c r="E2" s="248"/>
      <c r="F2" s="248"/>
      <c r="G2" s="248"/>
      <c r="H2" s="248"/>
      <c r="I2" s="248"/>
      <c r="J2" s="249"/>
    </row>
    <row r="3" spans="1:10" s="38" customFormat="1" ht="15.6">
      <c r="A3" s="247"/>
      <c r="B3" s="248"/>
      <c r="C3" s="248"/>
      <c r="D3" s="248"/>
      <c r="E3" s="248"/>
      <c r="F3" s="248"/>
      <c r="G3" s="248"/>
      <c r="H3" s="248"/>
      <c r="I3" s="248"/>
      <c r="J3" s="249"/>
    </row>
    <row r="4" spans="1:10" s="38" customFormat="1" ht="15.6">
      <c r="A4" s="247"/>
      <c r="B4" s="248"/>
      <c r="C4" s="248"/>
      <c r="D4" s="248"/>
      <c r="E4" s="248"/>
      <c r="F4" s="248"/>
      <c r="G4" s="248"/>
      <c r="H4" s="248"/>
      <c r="I4" s="248"/>
      <c r="J4" s="249"/>
    </row>
    <row r="5" spans="1:10" s="38" customFormat="1" ht="15.6">
      <c r="A5" s="247"/>
      <c r="B5" s="248"/>
      <c r="C5" s="248"/>
      <c r="D5" s="248"/>
      <c r="E5" s="248"/>
      <c r="F5" s="248"/>
      <c r="G5" s="248"/>
      <c r="H5" s="248"/>
      <c r="I5" s="248"/>
      <c r="J5" s="249"/>
    </row>
    <row r="6" spans="1:10" s="38" customFormat="1" ht="15.6">
      <c r="A6" s="39"/>
      <c r="B6" s="40"/>
      <c r="C6" s="40"/>
      <c r="D6" s="40"/>
      <c r="E6" s="40"/>
      <c r="F6" s="40"/>
      <c r="G6" s="40"/>
      <c r="H6" s="40"/>
      <c r="I6" s="40"/>
      <c r="J6" s="41"/>
    </row>
    <row r="7" spans="1:10" s="38" customFormat="1" ht="16.2" thickBot="1">
      <c r="A7" s="42"/>
      <c r="B7" s="43"/>
      <c r="C7" s="43"/>
      <c r="D7" s="43"/>
      <c r="E7" s="43"/>
      <c r="F7" s="43"/>
      <c r="G7" s="43"/>
      <c r="H7" s="43"/>
      <c r="I7" s="43"/>
      <c r="J7" s="44"/>
    </row>
    <row r="8" spans="1:10" s="38" customFormat="1" ht="16.2" thickTop="1">
      <c r="A8" s="45"/>
      <c r="B8" s="46"/>
      <c r="C8" s="46"/>
      <c r="D8" s="46"/>
      <c r="E8" s="46"/>
      <c r="F8" s="46"/>
      <c r="G8" s="46"/>
      <c r="H8" s="46"/>
      <c r="I8" s="46"/>
      <c r="J8" s="47"/>
    </row>
    <row r="9" spans="1:10" s="38" customFormat="1" ht="15.6">
      <c r="A9" s="250" t="s">
        <v>103</v>
      </c>
      <c r="B9" s="251"/>
      <c r="C9" s="251"/>
      <c r="D9" s="251"/>
      <c r="E9" s="251"/>
      <c r="F9" s="251"/>
      <c r="G9" s="251"/>
      <c r="H9" s="251"/>
      <c r="I9" s="251"/>
      <c r="J9" s="252"/>
    </row>
    <row r="10" spans="1:10" s="38" customFormat="1" ht="25.5" customHeight="1">
      <c r="A10" s="253" t="s">
        <v>178</v>
      </c>
      <c r="B10" s="254"/>
      <c r="C10" s="254"/>
      <c r="D10" s="254"/>
      <c r="E10" s="254"/>
      <c r="F10" s="254"/>
      <c r="G10" s="254"/>
      <c r="H10" s="254"/>
      <c r="I10" s="254"/>
      <c r="J10" s="255"/>
    </row>
    <row r="11" spans="1:10" s="38" customFormat="1" ht="27.75" customHeight="1">
      <c r="A11" s="253"/>
      <c r="B11" s="254"/>
      <c r="C11" s="254"/>
      <c r="D11" s="254"/>
      <c r="E11" s="254"/>
      <c r="F11" s="254"/>
      <c r="G11" s="254"/>
      <c r="H11" s="254"/>
      <c r="I11" s="254"/>
      <c r="J11" s="255"/>
    </row>
    <row r="12" spans="1:10" s="38" customFormat="1" ht="16.2" thickBot="1">
      <c r="A12" s="48"/>
      <c r="B12" s="49"/>
      <c r="C12" s="49"/>
      <c r="D12" s="49"/>
      <c r="E12" s="49"/>
      <c r="F12" s="49"/>
      <c r="G12" s="49"/>
      <c r="H12" s="49"/>
      <c r="I12" s="49"/>
      <c r="J12" s="50"/>
    </row>
    <row r="13" spans="1:10" s="38" customFormat="1" ht="16.2" thickTop="1">
      <c r="A13" s="51"/>
      <c r="B13" s="52"/>
      <c r="C13" s="52"/>
      <c r="D13" s="52"/>
      <c r="E13" s="52"/>
      <c r="F13" s="52"/>
      <c r="G13" s="52"/>
      <c r="H13" s="52"/>
      <c r="I13" s="52"/>
      <c r="J13" s="53"/>
    </row>
    <row r="14" spans="1:10" s="38" customFormat="1" ht="15.6">
      <c r="A14" s="250" t="s">
        <v>104</v>
      </c>
      <c r="B14" s="251"/>
      <c r="C14" s="251"/>
      <c r="D14" s="251"/>
      <c r="E14" s="251"/>
      <c r="F14" s="251"/>
      <c r="G14" s="251"/>
      <c r="H14" s="251"/>
      <c r="I14" s="251"/>
      <c r="J14" s="252"/>
    </row>
    <row r="15" spans="1:10" s="38" customFormat="1" ht="25.8">
      <c r="A15" s="241" t="s">
        <v>179</v>
      </c>
      <c r="B15" s="242"/>
      <c r="C15" s="242"/>
      <c r="D15" s="242"/>
      <c r="E15" s="242"/>
      <c r="F15" s="242"/>
      <c r="G15" s="242"/>
      <c r="H15" s="242"/>
      <c r="I15" s="242"/>
      <c r="J15" s="243"/>
    </row>
    <row r="16" spans="1:10" s="54" customFormat="1" ht="15.6">
      <c r="A16" s="250" t="s">
        <v>106</v>
      </c>
      <c r="B16" s="251"/>
      <c r="C16" s="251"/>
      <c r="D16" s="251"/>
      <c r="E16" s="251"/>
      <c r="F16" s="251"/>
      <c r="G16" s="251"/>
      <c r="H16" s="251"/>
      <c r="I16" s="251"/>
      <c r="J16" s="252"/>
    </row>
    <row r="17" spans="1:10" s="38" customFormat="1" ht="25.8">
      <c r="A17" s="241" t="s">
        <v>85</v>
      </c>
      <c r="B17" s="242"/>
      <c r="C17" s="242"/>
      <c r="D17" s="242"/>
      <c r="E17" s="242"/>
      <c r="F17" s="242"/>
      <c r="G17" s="242"/>
      <c r="H17" s="242"/>
      <c r="I17" s="242"/>
      <c r="J17" s="243"/>
    </row>
    <row r="18" spans="1:10" s="38" customFormat="1" ht="16.2" thickBot="1">
      <c r="A18" s="55"/>
      <c r="B18" s="56"/>
      <c r="C18" s="56"/>
      <c r="D18" s="56"/>
      <c r="E18" s="56"/>
      <c r="F18" s="56"/>
      <c r="G18" s="56"/>
      <c r="H18" s="56"/>
      <c r="I18" s="56"/>
      <c r="J18" s="57"/>
    </row>
    <row r="19" spans="1:10" s="38" customFormat="1" ht="16.2" thickTop="1">
      <c r="A19" s="229"/>
      <c r="B19" s="230"/>
      <c r="C19" s="230"/>
      <c r="D19" s="230"/>
      <c r="E19" s="230"/>
      <c r="F19" s="230"/>
      <c r="G19" s="230"/>
      <c r="H19" s="230"/>
      <c r="I19" s="230"/>
      <c r="J19" s="230"/>
    </row>
    <row r="20" spans="1:10" s="38" customFormat="1" ht="15.6">
      <c r="A20" s="231"/>
      <c r="B20" s="232"/>
      <c r="C20" s="232"/>
      <c r="D20" s="232"/>
      <c r="E20" s="232"/>
      <c r="F20" s="232"/>
      <c r="G20" s="232"/>
      <c r="H20" s="232"/>
      <c r="I20" s="232"/>
      <c r="J20" s="232"/>
    </row>
    <row r="21" spans="1:10" s="38" customFormat="1" ht="15.6">
      <c r="A21" s="231"/>
      <c r="B21" s="232"/>
      <c r="C21" s="232"/>
      <c r="D21" s="232"/>
      <c r="E21" s="232"/>
      <c r="F21" s="232"/>
      <c r="G21" s="232"/>
      <c r="H21" s="232"/>
      <c r="I21" s="232"/>
      <c r="J21" s="232"/>
    </row>
    <row r="22" spans="1:10" s="38" customFormat="1" ht="15.6">
      <c r="A22" s="231"/>
      <c r="B22" s="232"/>
      <c r="C22" s="232"/>
      <c r="D22" s="232"/>
      <c r="E22" s="232"/>
      <c r="F22" s="232"/>
      <c r="G22" s="232"/>
      <c r="H22" s="232"/>
      <c r="I22" s="232"/>
      <c r="J22" s="232"/>
    </row>
    <row r="23" spans="1:10" s="38" customFormat="1" ht="15.6">
      <c r="A23" s="231"/>
      <c r="B23" s="232"/>
      <c r="C23" s="232"/>
      <c r="D23" s="232"/>
      <c r="E23" s="232"/>
      <c r="F23" s="232"/>
      <c r="G23" s="232"/>
      <c r="H23" s="232"/>
      <c r="I23" s="232"/>
      <c r="J23" s="232"/>
    </row>
    <row r="24" spans="1:10" s="38" customFormat="1" ht="15.6">
      <c r="A24" s="231"/>
      <c r="B24" s="232"/>
      <c r="C24" s="232"/>
      <c r="D24" s="232"/>
      <c r="E24" s="232"/>
      <c r="F24" s="232"/>
      <c r="G24" s="232"/>
      <c r="H24" s="232"/>
      <c r="I24" s="232"/>
      <c r="J24" s="232"/>
    </row>
    <row r="25" spans="1:10" s="38" customFormat="1" ht="15.6">
      <c r="A25" s="231"/>
      <c r="B25" s="232"/>
      <c r="C25" s="232"/>
      <c r="D25" s="232"/>
      <c r="E25" s="232"/>
      <c r="F25" s="232"/>
      <c r="G25" s="232"/>
      <c r="H25" s="232"/>
      <c r="I25" s="232"/>
      <c r="J25" s="232"/>
    </row>
    <row r="26" spans="1:10" s="38" customFormat="1" ht="23.25" customHeight="1">
      <c r="A26" s="231"/>
      <c r="B26" s="232"/>
      <c r="C26" s="232"/>
      <c r="D26" s="232"/>
      <c r="E26" s="232"/>
      <c r="F26" s="232"/>
      <c r="G26" s="232"/>
      <c r="H26" s="232"/>
      <c r="I26" s="232"/>
      <c r="J26" s="232"/>
    </row>
    <row r="27" spans="1:10" s="38" customFormat="1" ht="23.25" customHeight="1">
      <c r="A27" s="231"/>
      <c r="B27" s="232"/>
      <c r="C27" s="232"/>
      <c r="D27" s="232"/>
      <c r="E27" s="232"/>
      <c r="F27" s="232"/>
      <c r="G27" s="232"/>
      <c r="H27" s="232"/>
      <c r="I27" s="232"/>
      <c r="J27" s="232"/>
    </row>
    <row r="28" spans="1:10" s="38" customFormat="1" ht="23.25" customHeight="1">
      <c r="A28" s="231"/>
      <c r="B28" s="232"/>
      <c r="C28" s="232"/>
      <c r="D28" s="232"/>
      <c r="E28" s="232"/>
      <c r="F28" s="232"/>
      <c r="G28" s="232"/>
      <c r="H28" s="232"/>
      <c r="I28" s="232"/>
      <c r="J28" s="232"/>
    </row>
    <row r="29" spans="1:10" s="38" customFormat="1" ht="23.25" customHeight="1">
      <c r="A29" s="231"/>
      <c r="B29" s="232"/>
      <c r="C29" s="232"/>
      <c r="D29" s="232"/>
      <c r="E29" s="232"/>
      <c r="F29" s="232"/>
      <c r="G29" s="232"/>
      <c r="H29" s="232"/>
      <c r="I29" s="232"/>
      <c r="J29" s="232"/>
    </row>
    <row r="30" spans="1:10" s="38" customFormat="1" ht="23.25" customHeight="1">
      <c r="A30" s="231"/>
      <c r="B30" s="232"/>
      <c r="C30" s="232"/>
      <c r="D30" s="232"/>
      <c r="E30" s="232"/>
      <c r="F30" s="232"/>
      <c r="G30" s="232"/>
      <c r="H30" s="232"/>
      <c r="I30" s="232"/>
      <c r="J30" s="232"/>
    </row>
    <row r="31" spans="1:10" ht="23.25" customHeight="1">
      <c r="A31" s="231"/>
      <c r="B31" s="232"/>
      <c r="C31" s="232"/>
      <c r="D31" s="232"/>
      <c r="E31" s="232"/>
      <c r="F31" s="232"/>
      <c r="G31" s="232"/>
      <c r="H31" s="232"/>
      <c r="I31" s="232"/>
      <c r="J31" s="232"/>
    </row>
    <row r="32" spans="1:10" ht="23.25" customHeight="1">
      <c r="A32" s="231"/>
      <c r="B32" s="232"/>
      <c r="C32" s="232"/>
      <c r="D32" s="232"/>
      <c r="E32" s="232"/>
      <c r="F32" s="232"/>
      <c r="G32" s="232"/>
      <c r="H32" s="232"/>
      <c r="I32" s="232"/>
      <c r="J32" s="232"/>
    </row>
    <row r="33" spans="1:10" ht="23.25" customHeight="1">
      <c r="A33" s="231"/>
      <c r="B33" s="232"/>
      <c r="C33" s="232"/>
      <c r="D33" s="232"/>
      <c r="E33" s="232"/>
      <c r="F33" s="232"/>
      <c r="G33" s="232"/>
      <c r="H33" s="232"/>
      <c r="I33" s="232"/>
      <c r="J33" s="232"/>
    </row>
    <row r="34" spans="1:10" ht="15" customHeight="1">
      <c r="A34" s="231"/>
      <c r="B34" s="232"/>
      <c r="C34" s="232"/>
      <c r="D34" s="232"/>
      <c r="E34" s="232"/>
      <c r="F34" s="232"/>
      <c r="G34" s="232"/>
      <c r="H34" s="232"/>
      <c r="I34" s="232"/>
      <c r="J34" s="232"/>
    </row>
    <row r="35" spans="1:10" ht="15" customHeight="1">
      <c r="A35" s="231"/>
      <c r="B35" s="232"/>
      <c r="C35" s="232"/>
      <c r="D35" s="232"/>
      <c r="E35" s="232"/>
      <c r="F35" s="232"/>
      <c r="G35" s="232"/>
      <c r="H35" s="232"/>
      <c r="I35" s="232"/>
      <c r="J35" s="232"/>
    </row>
    <row r="36" spans="1:10" ht="15.75" customHeight="1">
      <c r="A36" s="231"/>
      <c r="B36" s="232"/>
      <c r="C36" s="232"/>
      <c r="D36" s="232"/>
      <c r="E36" s="232"/>
      <c r="F36" s="232"/>
      <c r="G36" s="232"/>
      <c r="H36" s="232"/>
      <c r="I36" s="232"/>
      <c r="J36" s="232"/>
    </row>
    <row r="37" spans="1:10" ht="15.75" customHeight="1">
      <c r="A37" s="231"/>
      <c r="B37" s="232"/>
      <c r="C37" s="232"/>
      <c r="D37" s="232"/>
      <c r="E37" s="232"/>
      <c r="F37" s="232"/>
      <c r="G37" s="232"/>
      <c r="H37" s="232"/>
      <c r="I37" s="232"/>
      <c r="J37" s="232"/>
    </row>
    <row r="38" spans="1:10" ht="16.5" customHeight="1" thickBot="1">
      <c r="A38" s="233"/>
      <c r="B38" s="234"/>
      <c r="C38" s="234"/>
      <c r="D38" s="234"/>
      <c r="E38" s="234"/>
      <c r="F38" s="234"/>
      <c r="G38" s="234"/>
      <c r="H38" s="234"/>
      <c r="I38" s="234"/>
      <c r="J38" s="234"/>
    </row>
    <row r="39" spans="1:10" ht="16.2" thickTop="1">
      <c r="A39" s="59"/>
      <c r="B39" s="60"/>
      <c r="C39" s="60"/>
      <c r="D39" s="60"/>
      <c r="E39" s="60"/>
      <c r="F39" s="60"/>
      <c r="G39" s="60"/>
      <c r="H39" s="60"/>
      <c r="I39" s="60"/>
      <c r="J39" s="61"/>
    </row>
    <row r="40" spans="1:10">
      <c r="A40" s="62"/>
      <c r="B40" s="63"/>
      <c r="C40" s="63"/>
      <c r="D40" s="63"/>
      <c r="E40" s="63"/>
      <c r="F40" s="63"/>
      <c r="G40" s="63"/>
      <c r="H40" s="63"/>
      <c r="I40" s="63"/>
      <c r="J40" s="64"/>
    </row>
    <row r="41" spans="1:10" ht="18">
      <c r="A41" s="235" t="s">
        <v>105</v>
      </c>
      <c r="B41" s="236"/>
      <c r="C41" s="236"/>
      <c r="D41" s="236"/>
      <c r="E41" s="236"/>
      <c r="F41" s="236"/>
      <c r="G41" s="236"/>
      <c r="H41" s="236"/>
      <c r="I41" s="236"/>
      <c r="J41" s="237"/>
    </row>
    <row r="42" spans="1:10" ht="18.600000000000001" thickBot="1">
      <c r="A42" s="238">
        <v>45524</v>
      </c>
      <c r="B42" s="239"/>
      <c r="C42" s="239"/>
      <c r="D42" s="239"/>
      <c r="E42" s="239"/>
      <c r="F42" s="239"/>
      <c r="G42" s="239"/>
      <c r="H42" s="239"/>
      <c r="I42" s="239"/>
      <c r="J42" s="240"/>
    </row>
    <row r="43" spans="1:10" ht="15" thickTop="1"/>
  </sheetData>
  <sheetProtection algorithmName="SHA-512" hashValue="Yaz6fCzbFs5tTm18O0dQaJ9EI07pRBFcYkELCan2cm8w+RCEg5TQvVcu+6WofXKk5aCFlPOoC/oHQ7yO5rycFQ==" saltValue="2fIVBMxNK1ZOe3nt6kHJGA==" spinCount="100000" sheet="1" objects="1" scenarios="1"/>
  <mergeCells count="10">
    <mergeCell ref="A19:J38"/>
    <mergeCell ref="A41:J41"/>
    <mergeCell ref="A42:J42"/>
    <mergeCell ref="A17:J17"/>
    <mergeCell ref="A1:J5"/>
    <mergeCell ref="A9:J9"/>
    <mergeCell ref="A10:J11"/>
    <mergeCell ref="A14:J14"/>
    <mergeCell ref="A15:J15"/>
    <mergeCell ref="A16:J16"/>
  </mergeCells>
  <pageMargins left="0.7" right="0.7" top="0.53" bottom="0.5" header="0.3" footer="0.3"/>
  <pageSetup scale="94" firstPageNumber="0" orientation="portrait" horizont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sqref="A1:XFD1048576"/>
    </sheetView>
  </sheetViews>
  <sheetFormatPr defaultColWidth="8" defaultRowHeight="15.6"/>
  <cols>
    <col min="1" max="1" width="109.44140625" style="69" customWidth="1"/>
    <col min="2" max="5" width="1" style="67" customWidth="1"/>
    <col min="6" max="6" width="5" style="67" customWidth="1"/>
    <col min="7" max="9" width="1" style="67" customWidth="1"/>
    <col min="10" max="10" width="1.6640625" style="67" customWidth="1"/>
    <col min="11" max="11" width="1" style="67" customWidth="1"/>
    <col min="12" max="12" width="17" style="67" customWidth="1"/>
    <col min="13" max="13" width="9.6640625" style="67" customWidth="1"/>
    <col min="14" max="14" width="1" style="67" customWidth="1"/>
    <col min="15" max="16" width="1.6640625" style="67" customWidth="1"/>
    <col min="17" max="17" width="4" style="67" customWidth="1"/>
    <col min="18" max="18" width="2.6640625" style="67" customWidth="1"/>
    <col min="19" max="22" width="1" style="67" customWidth="1"/>
    <col min="23" max="24" width="1.6640625" style="67" customWidth="1"/>
    <col min="25" max="26" width="1" style="67" customWidth="1"/>
    <col min="27" max="28" width="1.6640625" style="67" customWidth="1"/>
    <col min="29" max="29" width="2.6640625" style="67" customWidth="1"/>
    <col min="30" max="34" width="1" style="67" customWidth="1"/>
    <col min="35" max="35" width="2.6640625" style="67" customWidth="1"/>
    <col min="36" max="36" width="1" style="67" customWidth="1"/>
    <col min="37" max="37" width="2.6640625" style="67" customWidth="1"/>
    <col min="38" max="38" width="1" style="67" customWidth="1"/>
    <col min="39" max="39" width="2.6640625" style="67" customWidth="1"/>
    <col min="40" max="43" width="1" style="67" customWidth="1"/>
    <col min="44" max="47" width="1.6640625" style="67" customWidth="1"/>
    <col min="48" max="48" width="1" style="67" customWidth="1"/>
    <col min="49" max="49" width="1.6640625" style="67" customWidth="1"/>
    <col min="50" max="51" width="1" style="67" customWidth="1"/>
    <col min="52" max="52" width="1.6640625" style="67" customWidth="1"/>
    <col min="53" max="53" width="5" style="67" customWidth="1"/>
    <col min="54" max="54" width="1" style="67" customWidth="1"/>
    <col min="55" max="55" width="4" style="67" customWidth="1"/>
    <col min="56" max="56" width="1" style="67" customWidth="1"/>
    <col min="57" max="57" width="2.6640625" style="67" customWidth="1"/>
    <col min="58" max="58" width="1" style="67" customWidth="1"/>
    <col min="59" max="60" width="1.6640625" style="67" customWidth="1"/>
    <col min="61" max="61" width="2.6640625" style="67" customWidth="1"/>
    <col min="62" max="63" width="1.6640625" style="67" customWidth="1"/>
    <col min="64" max="66" width="1" style="67" customWidth="1"/>
    <col min="67" max="67" width="1.6640625" style="67" customWidth="1"/>
    <col min="68" max="68" width="1" style="67" customWidth="1"/>
    <col min="69" max="69" width="2.6640625" style="67" customWidth="1"/>
    <col min="70" max="70" width="1.6640625" style="67" customWidth="1"/>
    <col min="71" max="71" width="1" style="67" customWidth="1"/>
    <col min="72" max="72" width="2.6640625" style="67" customWidth="1"/>
    <col min="73" max="73" width="1.6640625" style="67" customWidth="1"/>
    <col min="74" max="74" width="1" style="67" customWidth="1"/>
    <col min="75" max="75" width="1.6640625" style="67" customWidth="1"/>
    <col min="76" max="79" width="1" style="67" customWidth="1"/>
    <col min="80" max="16384" width="8" style="67"/>
  </cols>
  <sheetData>
    <row r="1" spans="1:1">
      <c r="A1" s="66"/>
    </row>
    <row r="2" spans="1:1">
      <c r="A2" s="68" t="s">
        <v>107</v>
      </c>
    </row>
    <row r="3" spans="1:1">
      <c r="A3" s="66" t="s">
        <v>108</v>
      </c>
    </row>
    <row r="4" spans="1:1">
      <c r="A4" s="66" t="s">
        <v>109</v>
      </c>
    </row>
    <row r="5" spans="1:1">
      <c r="A5" s="66" t="s">
        <v>180</v>
      </c>
    </row>
    <row r="6" spans="1:1" ht="78">
      <c r="A6" s="66" t="s">
        <v>110</v>
      </c>
    </row>
    <row r="7" spans="1:1" ht="46.8">
      <c r="A7" s="66" t="s">
        <v>111</v>
      </c>
    </row>
    <row r="8" spans="1:1" ht="46.8">
      <c r="A8" s="66" t="s">
        <v>112</v>
      </c>
    </row>
    <row r="9" spans="1:1">
      <c r="A9" s="66" t="s">
        <v>113</v>
      </c>
    </row>
    <row r="10" spans="1:1" ht="31.2">
      <c r="A10" s="66" t="s">
        <v>114</v>
      </c>
    </row>
    <row r="11" spans="1:1" ht="31.2">
      <c r="A11" s="66" t="s">
        <v>115</v>
      </c>
    </row>
    <row r="12" spans="1:1" ht="46.8">
      <c r="A12" s="66" t="s">
        <v>116</v>
      </c>
    </row>
    <row r="13" spans="1:1">
      <c r="A13" s="66" t="s">
        <v>117</v>
      </c>
    </row>
    <row r="14" spans="1:1" ht="46.8">
      <c r="A14" s="66" t="s">
        <v>118</v>
      </c>
    </row>
    <row r="15" spans="1:1" ht="31.2">
      <c r="A15" s="66" t="s">
        <v>119</v>
      </c>
    </row>
    <row r="16" spans="1:1">
      <c r="A16" s="66" t="s">
        <v>120</v>
      </c>
    </row>
    <row r="17" spans="1:1">
      <c r="A17" s="66" t="s">
        <v>121</v>
      </c>
    </row>
    <row r="18" spans="1:1">
      <c r="A18" s="66" t="s">
        <v>122</v>
      </c>
    </row>
    <row r="19" spans="1:1">
      <c r="A19" s="66" t="s">
        <v>123</v>
      </c>
    </row>
    <row r="20" spans="1:1">
      <c r="A20" s="66" t="s">
        <v>124</v>
      </c>
    </row>
    <row r="21" spans="1:1" ht="31.2">
      <c r="A21" s="66" t="s">
        <v>125</v>
      </c>
    </row>
    <row r="22" spans="1:1" ht="46.8">
      <c r="A22" s="69" t="s">
        <v>126</v>
      </c>
    </row>
    <row r="23" spans="1:1">
      <c r="A23" s="66" t="s">
        <v>127</v>
      </c>
    </row>
    <row r="24" spans="1:1">
      <c r="A24" s="66" t="s">
        <v>128</v>
      </c>
    </row>
    <row r="25" spans="1:1" ht="31.2">
      <c r="A25" s="66" t="s">
        <v>129</v>
      </c>
    </row>
    <row r="26" spans="1:1">
      <c r="A26" s="66" t="s">
        <v>130</v>
      </c>
    </row>
    <row r="27" spans="1:1" ht="31.2">
      <c r="A27" s="66" t="s">
        <v>131</v>
      </c>
    </row>
    <row r="28" spans="1:1">
      <c r="A28" s="66" t="s">
        <v>132</v>
      </c>
    </row>
    <row r="29" spans="1:1">
      <c r="A29" s="66" t="s">
        <v>133</v>
      </c>
    </row>
    <row r="30" spans="1:1">
      <c r="A30" s="66" t="s">
        <v>134</v>
      </c>
    </row>
    <row r="31" spans="1:1" ht="31.2">
      <c r="A31" s="66" t="s">
        <v>135</v>
      </c>
    </row>
    <row r="32" spans="1:1" ht="46.8">
      <c r="A32" s="66" t="s">
        <v>136</v>
      </c>
    </row>
    <row r="33" spans="1:1" ht="31.2">
      <c r="A33" s="66" t="s">
        <v>137</v>
      </c>
    </row>
    <row r="34" spans="1:1" ht="46.8">
      <c r="A34" s="66" t="s">
        <v>138</v>
      </c>
    </row>
    <row r="35" spans="1:1" ht="31.2">
      <c r="A35" s="66" t="s">
        <v>139</v>
      </c>
    </row>
    <row r="36" spans="1:1" ht="46.8">
      <c r="A36" s="66" t="s">
        <v>140</v>
      </c>
    </row>
    <row r="37" spans="1:1" ht="46.8">
      <c r="A37" s="66" t="s">
        <v>141</v>
      </c>
    </row>
    <row r="38" spans="1:1" ht="46.8">
      <c r="A38" s="66" t="s">
        <v>142</v>
      </c>
    </row>
    <row r="39" spans="1:1" ht="31.2">
      <c r="A39" s="66" t="s">
        <v>143</v>
      </c>
    </row>
    <row r="40" spans="1:1" ht="31.2">
      <c r="A40" s="66" t="s">
        <v>144</v>
      </c>
    </row>
  </sheetData>
  <sheetProtection algorithmName="SHA-512" hashValue="nANTLoXuqtdTok8DBiSyuC6ulFhNoVOsI2OtdQQm7fZOUFAwWji2ncLQMNfCQEdeCknGwSzJvugUbCw/h9IKVg==" saltValue="ZUgZ+w4RvmlVGwvSW7NIl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2"/>
  <sheetViews>
    <sheetView view="pageBreakPreview" zoomScale="60" zoomScaleNormal="100" workbookViewId="0">
      <selection activeCell="C12" sqref="C12"/>
    </sheetView>
  </sheetViews>
  <sheetFormatPr defaultColWidth="8.6640625" defaultRowHeight="22.8"/>
  <cols>
    <col min="1" max="1" width="77.44140625" style="1" bestFit="1" customWidth="1"/>
    <col min="2" max="2" width="13.44140625" style="14" customWidth="1"/>
    <col min="3" max="3" width="29.44140625" style="1" bestFit="1" customWidth="1"/>
    <col min="4" max="4" width="18.44140625" style="1" bestFit="1" customWidth="1"/>
    <col min="5" max="5" width="13.44140625" style="1" bestFit="1" customWidth="1"/>
    <col min="6" max="6" width="18.33203125" style="1" bestFit="1" customWidth="1"/>
    <col min="7" max="249" width="9.109375" style="1"/>
    <col min="250" max="250" width="13.44140625" style="1" customWidth="1"/>
    <col min="251" max="251" width="71.6640625" style="1" customWidth="1"/>
    <col min="252" max="252" width="8" style="1" customWidth="1"/>
    <col min="253" max="253" width="10.44140625" style="1" customWidth="1"/>
    <col min="254" max="254" width="17.109375" style="1" customWidth="1"/>
    <col min="255" max="255" width="22" style="1" customWidth="1"/>
    <col min="256" max="256" width="9.109375" style="1"/>
    <col min="257" max="257" width="9.44140625" style="1" customWidth="1"/>
    <col min="258" max="260" width="14.44140625" style="1" bestFit="1" customWidth="1"/>
    <col min="261" max="261" width="10.6640625" style="1" bestFit="1" customWidth="1"/>
    <col min="262" max="262" width="12.44140625" style="1" bestFit="1" customWidth="1"/>
    <col min="263" max="505" width="9.109375" style="1"/>
    <col min="506" max="506" width="13.44140625" style="1" customWidth="1"/>
    <col min="507" max="507" width="71.6640625" style="1" customWidth="1"/>
    <col min="508" max="508" width="8" style="1" customWidth="1"/>
    <col min="509" max="509" width="10.44140625" style="1" customWidth="1"/>
    <col min="510" max="510" width="17.109375" style="1" customWidth="1"/>
    <col min="511" max="511" width="22" style="1" customWidth="1"/>
    <col min="512" max="512" width="9.109375" style="1"/>
    <col min="513" max="513" width="9.44140625" style="1" customWidth="1"/>
    <col min="514" max="516" width="14.44140625" style="1" bestFit="1" customWidth="1"/>
    <col min="517" max="517" width="10.6640625" style="1" bestFit="1" customWidth="1"/>
    <col min="518" max="518" width="12.44140625" style="1" bestFit="1" customWidth="1"/>
    <col min="519" max="761" width="9.109375" style="1"/>
    <col min="762" max="762" width="13.44140625" style="1" customWidth="1"/>
    <col min="763" max="763" width="71.6640625" style="1" customWidth="1"/>
    <col min="764" max="764" width="8" style="1" customWidth="1"/>
    <col min="765" max="765" width="10.44140625" style="1" customWidth="1"/>
    <col min="766" max="766" width="17.109375" style="1" customWidth="1"/>
    <col min="767" max="767" width="22" style="1" customWidth="1"/>
    <col min="768" max="768" width="9.109375" style="1"/>
    <col min="769" max="769" width="9.44140625" style="1" customWidth="1"/>
    <col min="770" max="772" width="14.44140625" style="1" bestFit="1" customWidth="1"/>
    <col min="773" max="773" width="10.6640625" style="1" bestFit="1" customWidth="1"/>
    <col min="774" max="774" width="12.44140625" style="1" bestFit="1" customWidth="1"/>
    <col min="775" max="1017" width="9.109375" style="1"/>
    <col min="1018" max="1018" width="13.44140625" style="1" customWidth="1"/>
    <col min="1019" max="1019" width="71.6640625" style="1" customWidth="1"/>
    <col min="1020" max="1020" width="8" style="1" customWidth="1"/>
    <col min="1021" max="1021" width="10.44140625" style="1" customWidth="1"/>
    <col min="1022" max="1022" width="17.109375" style="1" customWidth="1"/>
    <col min="1023" max="1023" width="22" style="1" customWidth="1"/>
    <col min="1024" max="1024" width="9.109375" style="1"/>
    <col min="1025" max="1025" width="9.44140625" style="1" customWidth="1"/>
    <col min="1026" max="1028" width="14.44140625" style="1" bestFit="1" customWidth="1"/>
    <col min="1029" max="1029" width="10.6640625" style="1" bestFit="1" customWidth="1"/>
    <col min="1030" max="1030" width="12.44140625" style="1" bestFit="1" customWidth="1"/>
    <col min="1031" max="1273" width="9.109375" style="1"/>
    <col min="1274" max="1274" width="13.44140625" style="1" customWidth="1"/>
    <col min="1275" max="1275" width="71.6640625" style="1" customWidth="1"/>
    <col min="1276" max="1276" width="8" style="1" customWidth="1"/>
    <col min="1277" max="1277" width="10.44140625" style="1" customWidth="1"/>
    <col min="1278" max="1278" width="17.109375" style="1" customWidth="1"/>
    <col min="1279" max="1279" width="22" style="1" customWidth="1"/>
    <col min="1280" max="1280" width="9.109375" style="1"/>
    <col min="1281" max="1281" width="9.44140625" style="1" customWidth="1"/>
    <col min="1282" max="1284" width="14.44140625" style="1" bestFit="1" customWidth="1"/>
    <col min="1285" max="1285" width="10.6640625" style="1" bestFit="1" customWidth="1"/>
    <col min="1286" max="1286" width="12.44140625" style="1" bestFit="1" customWidth="1"/>
    <col min="1287" max="1529" width="9.109375" style="1"/>
    <col min="1530" max="1530" width="13.44140625" style="1" customWidth="1"/>
    <col min="1531" max="1531" width="71.6640625" style="1" customWidth="1"/>
    <col min="1532" max="1532" width="8" style="1" customWidth="1"/>
    <col min="1533" max="1533" width="10.44140625" style="1" customWidth="1"/>
    <col min="1534" max="1534" width="17.109375" style="1" customWidth="1"/>
    <col min="1535" max="1535" width="22" style="1" customWidth="1"/>
    <col min="1536" max="1536" width="9.109375" style="1"/>
    <col min="1537" max="1537" width="9.44140625" style="1" customWidth="1"/>
    <col min="1538" max="1540" width="14.44140625" style="1" bestFit="1" customWidth="1"/>
    <col min="1541" max="1541" width="10.6640625" style="1" bestFit="1" customWidth="1"/>
    <col min="1542" max="1542" width="12.44140625" style="1" bestFit="1" customWidth="1"/>
    <col min="1543" max="1785" width="9.109375" style="1"/>
    <col min="1786" max="1786" width="13.44140625" style="1" customWidth="1"/>
    <col min="1787" max="1787" width="71.6640625" style="1" customWidth="1"/>
    <col min="1788" max="1788" width="8" style="1" customWidth="1"/>
    <col min="1789" max="1789" width="10.44140625" style="1" customWidth="1"/>
    <col min="1790" max="1790" width="17.109375" style="1" customWidth="1"/>
    <col min="1791" max="1791" width="22" style="1" customWidth="1"/>
    <col min="1792" max="1792" width="9.109375" style="1"/>
    <col min="1793" max="1793" width="9.44140625" style="1" customWidth="1"/>
    <col min="1794" max="1796" width="14.44140625" style="1" bestFit="1" customWidth="1"/>
    <col min="1797" max="1797" width="10.6640625" style="1" bestFit="1" customWidth="1"/>
    <col min="1798" max="1798" width="12.44140625" style="1" bestFit="1" customWidth="1"/>
    <col min="1799" max="2041" width="9.109375" style="1"/>
    <col min="2042" max="2042" width="13.44140625" style="1" customWidth="1"/>
    <col min="2043" max="2043" width="71.6640625" style="1" customWidth="1"/>
    <col min="2044" max="2044" width="8" style="1" customWidth="1"/>
    <col min="2045" max="2045" width="10.44140625" style="1" customWidth="1"/>
    <col min="2046" max="2046" width="17.109375" style="1" customWidth="1"/>
    <col min="2047" max="2047" width="22" style="1" customWidth="1"/>
    <col min="2048" max="2048" width="9.109375" style="1"/>
    <col min="2049" max="2049" width="9.44140625" style="1" customWidth="1"/>
    <col min="2050" max="2052" width="14.44140625" style="1" bestFit="1" customWidth="1"/>
    <col min="2053" max="2053" width="10.6640625" style="1" bestFit="1" customWidth="1"/>
    <col min="2054" max="2054" width="12.44140625" style="1" bestFit="1" customWidth="1"/>
    <col min="2055" max="2297" width="9.109375" style="1"/>
    <col min="2298" max="2298" width="13.44140625" style="1" customWidth="1"/>
    <col min="2299" max="2299" width="71.6640625" style="1" customWidth="1"/>
    <col min="2300" max="2300" width="8" style="1" customWidth="1"/>
    <col min="2301" max="2301" width="10.44140625" style="1" customWidth="1"/>
    <col min="2302" max="2302" width="17.109375" style="1" customWidth="1"/>
    <col min="2303" max="2303" width="22" style="1" customWidth="1"/>
    <col min="2304" max="2304" width="9.109375" style="1"/>
    <col min="2305" max="2305" width="9.44140625" style="1" customWidth="1"/>
    <col min="2306" max="2308" width="14.44140625" style="1" bestFit="1" customWidth="1"/>
    <col min="2309" max="2309" width="10.6640625" style="1" bestFit="1" customWidth="1"/>
    <col min="2310" max="2310" width="12.44140625" style="1" bestFit="1" customWidth="1"/>
    <col min="2311" max="2553" width="9.109375" style="1"/>
    <col min="2554" max="2554" width="13.44140625" style="1" customWidth="1"/>
    <col min="2555" max="2555" width="71.6640625" style="1" customWidth="1"/>
    <col min="2556" max="2556" width="8" style="1" customWidth="1"/>
    <col min="2557" max="2557" width="10.44140625" style="1" customWidth="1"/>
    <col min="2558" max="2558" width="17.109375" style="1" customWidth="1"/>
    <col min="2559" max="2559" width="22" style="1" customWidth="1"/>
    <col min="2560" max="2560" width="9.109375" style="1"/>
    <col min="2561" max="2561" width="9.44140625" style="1" customWidth="1"/>
    <col min="2562" max="2564" width="14.44140625" style="1" bestFit="1" customWidth="1"/>
    <col min="2565" max="2565" width="10.6640625" style="1" bestFit="1" customWidth="1"/>
    <col min="2566" max="2566" width="12.44140625" style="1" bestFit="1" customWidth="1"/>
    <col min="2567" max="2809" width="9.109375" style="1"/>
    <col min="2810" max="2810" width="13.44140625" style="1" customWidth="1"/>
    <col min="2811" max="2811" width="71.6640625" style="1" customWidth="1"/>
    <col min="2812" max="2812" width="8" style="1" customWidth="1"/>
    <col min="2813" max="2813" width="10.44140625" style="1" customWidth="1"/>
    <col min="2814" max="2814" width="17.109375" style="1" customWidth="1"/>
    <col min="2815" max="2815" width="22" style="1" customWidth="1"/>
    <col min="2816" max="2816" width="9.109375" style="1"/>
    <col min="2817" max="2817" width="9.44140625" style="1" customWidth="1"/>
    <col min="2818" max="2820" width="14.44140625" style="1" bestFit="1" customWidth="1"/>
    <col min="2821" max="2821" width="10.6640625" style="1" bestFit="1" customWidth="1"/>
    <col min="2822" max="2822" width="12.44140625" style="1" bestFit="1" customWidth="1"/>
    <col min="2823" max="3065" width="9.109375" style="1"/>
    <col min="3066" max="3066" width="13.44140625" style="1" customWidth="1"/>
    <col min="3067" max="3067" width="71.6640625" style="1" customWidth="1"/>
    <col min="3068" max="3068" width="8" style="1" customWidth="1"/>
    <col min="3069" max="3069" width="10.44140625" style="1" customWidth="1"/>
    <col min="3070" max="3070" width="17.109375" style="1" customWidth="1"/>
    <col min="3071" max="3071" width="22" style="1" customWidth="1"/>
    <col min="3072" max="3072" width="9.109375" style="1"/>
    <col min="3073" max="3073" width="9.44140625" style="1" customWidth="1"/>
    <col min="3074" max="3076" width="14.44140625" style="1" bestFit="1" customWidth="1"/>
    <col min="3077" max="3077" width="10.6640625" style="1" bestFit="1" customWidth="1"/>
    <col min="3078" max="3078" width="12.44140625" style="1" bestFit="1" customWidth="1"/>
    <col min="3079" max="3321" width="9.109375" style="1"/>
    <col min="3322" max="3322" width="13.44140625" style="1" customWidth="1"/>
    <col min="3323" max="3323" width="71.6640625" style="1" customWidth="1"/>
    <col min="3324" max="3324" width="8" style="1" customWidth="1"/>
    <col min="3325" max="3325" width="10.44140625" style="1" customWidth="1"/>
    <col min="3326" max="3326" width="17.109375" style="1" customWidth="1"/>
    <col min="3327" max="3327" width="22" style="1" customWidth="1"/>
    <col min="3328" max="3328" width="9.109375" style="1"/>
    <col min="3329" max="3329" width="9.44140625" style="1" customWidth="1"/>
    <col min="3330" max="3332" width="14.44140625" style="1" bestFit="1" customWidth="1"/>
    <col min="3333" max="3333" width="10.6640625" style="1" bestFit="1" customWidth="1"/>
    <col min="3334" max="3334" width="12.44140625" style="1" bestFit="1" customWidth="1"/>
    <col min="3335" max="3577" width="9.109375" style="1"/>
    <col min="3578" max="3578" width="13.44140625" style="1" customWidth="1"/>
    <col min="3579" max="3579" width="71.6640625" style="1" customWidth="1"/>
    <col min="3580" max="3580" width="8" style="1" customWidth="1"/>
    <col min="3581" max="3581" width="10.44140625" style="1" customWidth="1"/>
    <col min="3582" max="3582" width="17.109375" style="1" customWidth="1"/>
    <col min="3583" max="3583" width="22" style="1" customWidth="1"/>
    <col min="3584" max="3584" width="9.109375" style="1"/>
    <col min="3585" max="3585" width="9.44140625" style="1" customWidth="1"/>
    <col min="3586" max="3588" width="14.44140625" style="1" bestFit="1" customWidth="1"/>
    <col min="3589" max="3589" width="10.6640625" style="1" bestFit="1" customWidth="1"/>
    <col min="3590" max="3590" width="12.44140625" style="1" bestFit="1" customWidth="1"/>
    <col min="3591" max="3833" width="9.109375" style="1"/>
    <col min="3834" max="3834" width="13.44140625" style="1" customWidth="1"/>
    <col min="3835" max="3835" width="71.6640625" style="1" customWidth="1"/>
    <col min="3836" max="3836" width="8" style="1" customWidth="1"/>
    <col min="3837" max="3837" width="10.44140625" style="1" customWidth="1"/>
    <col min="3838" max="3838" width="17.109375" style="1" customWidth="1"/>
    <col min="3839" max="3839" width="22" style="1" customWidth="1"/>
    <col min="3840" max="3840" width="9.109375" style="1"/>
    <col min="3841" max="3841" width="9.44140625" style="1" customWidth="1"/>
    <col min="3842" max="3844" width="14.44140625" style="1" bestFit="1" customWidth="1"/>
    <col min="3845" max="3845" width="10.6640625" style="1" bestFit="1" customWidth="1"/>
    <col min="3846" max="3846" width="12.44140625" style="1" bestFit="1" customWidth="1"/>
    <col min="3847" max="4089" width="9.109375" style="1"/>
    <col min="4090" max="4090" width="13.44140625" style="1" customWidth="1"/>
    <col min="4091" max="4091" width="71.6640625" style="1" customWidth="1"/>
    <col min="4092" max="4092" width="8" style="1" customWidth="1"/>
    <col min="4093" max="4093" width="10.44140625" style="1" customWidth="1"/>
    <col min="4094" max="4094" width="17.109375" style="1" customWidth="1"/>
    <col min="4095" max="4095" width="22" style="1" customWidth="1"/>
    <col min="4096" max="4096" width="9.109375" style="1"/>
    <col min="4097" max="4097" width="9.44140625" style="1" customWidth="1"/>
    <col min="4098" max="4100" width="14.44140625" style="1" bestFit="1" customWidth="1"/>
    <col min="4101" max="4101" width="10.6640625" style="1" bestFit="1" customWidth="1"/>
    <col min="4102" max="4102" width="12.44140625" style="1" bestFit="1" customWidth="1"/>
    <col min="4103" max="4345" width="9.109375" style="1"/>
    <col min="4346" max="4346" width="13.44140625" style="1" customWidth="1"/>
    <col min="4347" max="4347" width="71.6640625" style="1" customWidth="1"/>
    <col min="4348" max="4348" width="8" style="1" customWidth="1"/>
    <col min="4349" max="4349" width="10.44140625" style="1" customWidth="1"/>
    <col min="4350" max="4350" width="17.109375" style="1" customWidth="1"/>
    <col min="4351" max="4351" width="22" style="1" customWidth="1"/>
    <col min="4352" max="4352" width="9.109375" style="1"/>
    <col min="4353" max="4353" width="9.44140625" style="1" customWidth="1"/>
    <col min="4354" max="4356" width="14.44140625" style="1" bestFit="1" customWidth="1"/>
    <col min="4357" max="4357" width="10.6640625" style="1" bestFit="1" customWidth="1"/>
    <col min="4358" max="4358" width="12.44140625" style="1" bestFit="1" customWidth="1"/>
    <col min="4359" max="4601" width="9.109375" style="1"/>
    <col min="4602" max="4602" width="13.44140625" style="1" customWidth="1"/>
    <col min="4603" max="4603" width="71.6640625" style="1" customWidth="1"/>
    <col min="4604" max="4604" width="8" style="1" customWidth="1"/>
    <col min="4605" max="4605" width="10.44140625" style="1" customWidth="1"/>
    <col min="4606" max="4606" width="17.109375" style="1" customWidth="1"/>
    <col min="4607" max="4607" width="22" style="1" customWidth="1"/>
    <col min="4608" max="4608" width="9.109375" style="1"/>
    <col min="4609" max="4609" width="9.44140625" style="1" customWidth="1"/>
    <col min="4610" max="4612" width="14.44140625" style="1" bestFit="1" customWidth="1"/>
    <col min="4613" max="4613" width="10.6640625" style="1" bestFit="1" customWidth="1"/>
    <col min="4614" max="4614" width="12.44140625" style="1" bestFit="1" customWidth="1"/>
    <col min="4615" max="4857" width="9.109375" style="1"/>
    <col min="4858" max="4858" width="13.44140625" style="1" customWidth="1"/>
    <col min="4859" max="4859" width="71.6640625" style="1" customWidth="1"/>
    <col min="4860" max="4860" width="8" style="1" customWidth="1"/>
    <col min="4861" max="4861" width="10.44140625" style="1" customWidth="1"/>
    <col min="4862" max="4862" width="17.109375" style="1" customWidth="1"/>
    <col min="4863" max="4863" width="22" style="1" customWidth="1"/>
    <col min="4864" max="4864" width="9.109375" style="1"/>
    <col min="4865" max="4865" width="9.44140625" style="1" customWidth="1"/>
    <col min="4866" max="4868" width="14.44140625" style="1" bestFit="1" customWidth="1"/>
    <col min="4869" max="4869" width="10.6640625" style="1" bestFit="1" customWidth="1"/>
    <col min="4870" max="4870" width="12.44140625" style="1" bestFit="1" customWidth="1"/>
    <col min="4871" max="5113" width="9.109375" style="1"/>
    <col min="5114" max="5114" width="13.44140625" style="1" customWidth="1"/>
    <col min="5115" max="5115" width="71.6640625" style="1" customWidth="1"/>
    <col min="5116" max="5116" width="8" style="1" customWidth="1"/>
    <col min="5117" max="5117" width="10.44140625" style="1" customWidth="1"/>
    <col min="5118" max="5118" width="17.109375" style="1" customWidth="1"/>
    <col min="5119" max="5119" width="22" style="1" customWidth="1"/>
    <col min="5120" max="5120" width="9.109375" style="1"/>
    <col min="5121" max="5121" width="9.44140625" style="1" customWidth="1"/>
    <col min="5122" max="5124" width="14.44140625" style="1" bestFit="1" customWidth="1"/>
    <col min="5125" max="5125" width="10.6640625" style="1" bestFit="1" customWidth="1"/>
    <col min="5126" max="5126" width="12.44140625" style="1" bestFit="1" customWidth="1"/>
    <col min="5127" max="5369" width="9.109375" style="1"/>
    <col min="5370" max="5370" width="13.44140625" style="1" customWidth="1"/>
    <col min="5371" max="5371" width="71.6640625" style="1" customWidth="1"/>
    <col min="5372" max="5372" width="8" style="1" customWidth="1"/>
    <col min="5373" max="5373" width="10.44140625" style="1" customWidth="1"/>
    <col min="5374" max="5374" width="17.109375" style="1" customWidth="1"/>
    <col min="5375" max="5375" width="22" style="1" customWidth="1"/>
    <col min="5376" max="5376" width="9.109375" style="1"/>
    <col min="5377" max="5377" width="9.44140625" style="1" customWidth="1"/>
    <col min="5378" max="5380" width="14.44140625" style="1" bestFit="1" customWidth="1"/>
    <col min="5381" max="5381" width="10.6640625" style="1" bestFit="1" customWidth="1"/>
    <col min="5382" max="5382" width="12.44140625" style="1" bestFit="1" customWidth="1"/>
    <col min="5383" max="5625" width="9.109375" style="1"/>
    <col min="5626" max="5626" width="13.44140625" style="1" customWidth="1"/>
    <col min="5627" max="5627" width="71.6640625" style="1" customWidth="1"/>
    <col min="5628" max="5628" width="8" style="1" customWidth="1"/>
    <col min="5629" max="5629" width="10.44140625" style="1" customWidth="1"/>
    <col min="5630" max="5630" width="17.109375" style="1" customWidth="1"/>
    <col min="5631" max="5631" width="22" style="1" customWidth="1"/>
    <col min="5632" max="5632" width="9.109375" style="1"/>
    <col min="5633" max="5633" width="9.44140625" style="1" customWidth="1"/>
    <col min="5634" max="5636" width="14.44140625" style="1" bestFit="1" customWidth="1"/>
    <col min="5637" max="5637" width="10.6640625" style="1" bestFit="1" customWidth="1"/>
    <col min="5638" max="5638" width="12.44140625" style="1" bestFit="1" customWidth="1"/>
    <col min="5639" max="5881" width="9.109375" style="1"/>
    <col min="5882" max="5882" width="13.44140625" style="1" customWidth="1"/>
    <col min="5883" max="5883" width="71.6640625" style="1" customWidth="1"/>
    <col min="5884" max="5884" width="8" style="1" customWidth="1"/>
    <col min="5885" max="5885" width="10.44140625" style="1" customWidth="1"/>
    <col min="5886" max="5886" width="17.109375" style="1" customWidth="1"/>
    <col min="5887" max="5887" width="22" style="1" customWidth="1"/>
    <col min="5888" max="5888" width="9.109375" style="1"/>
    <col min="5889" max="5889" width="9.44140625" style="1" customWidth="1"/>
    <col min="5890" max="5892" width="14.44140625" style="1" bestFit="1" customWidth="1"/>
    <col min="5893" max="5893" width="10.6640625" style="1" bestFit="1" customWidth="1"/>
    <col min="5894" max="5894" width="12.44140625" style="1" bestFit="1" customWidth="1"/>
    <col min="5895" max="6137" width="9.109375" style="1"/>
    <col min="6138" max="6138" width="13.44140625" style="1" customWidth="1"/>
    <col min="6139" max="6139" width="71.6640625" style="1" customWidth="1"/>
    <col min="6140" max="6140" width="8" style="1" customWidth="1"/>
    <col min="6141" max="6141" width="10.44140625" style="1" customWidth="1"/>
    <col min="6142" max="6142" width="17.109375" style="1" customWidth="1"/>
    <col min="6143" max="6143" width="22" style="1" customWidth="1"/>
    <col min="6144" max="6144" width="9.109375" style="1"/>
    <col min="6145" max="6145" width="9.44140625" style="1" customWidth="1"/>
    <col min="6146" max="6148" width="14.44140625" style="1" bestFit="1" customWidth="1"/>
    <col min="6149" max="6149" width="10.6640625" style="1" bestFit="1" customWidth="1"/>
    <col min="6150" max="6150" width="12.44140625" style="1" bestFit="1" customWidth="1"/>
    <col min="6151" max="6393" width="9.109375" style="1"/>
    <col min="6394" max="6394" width="13.44140625" style="1" customWidth="1"/>
    <col min="6395" max="6395" width="71.6640625" style="1" customWidth="1"/>
    <col min="6396" max="6396" width="8" style="1" customWidth="1"/>
    <col min="6397" max="6397" width="10.44140625" style="1" customWidth="1"/>
    <col min="6398" max="6398" width="17.109375" style="1" customWidth="1"/>
    <col min="6399" max="6399" width="22" style="1" customWidth="1"/>
    <col min="6400" max="6400" width="9.109375" style="1"/>
    <col min="6401" max="6401" width="9.44140625" style="1" customWidth="1"/>
    <col min="6402" max="6404" width="14.44140625" style="1" bestFit="1" customWidth="1"/>
    <col min="6405" max="6405" width="10.6640625" style="1" bestFit="1" customWidth="1"/>
    <col min="6406" max="6406" width="12.44140625" style="1" bestFit="1" customWidth="1"/>
    <col min="6407" max="6649" width="9.109375" style="1"/>
    <col min="6650" max="6650" width="13.44140625" style="1" customWidth="1"/>
    <col min="6651" max="6651" width="71.6640625" style="1" customWidth="1"/>
    <col min="6652" max="6652" width="8" style="1" customWidth="1"/>
    <col min="6653" max="6653" width="10.44140625" style="1" customWidth="1"/>
    <col min="6654" max="6654" width="17.109375" style="1" customWidth="1"/>
    <col min="6655" max="6655" width="22" style="1" customWidth="1"/>
    <col min="6656" max="6656" width="9.109375" style="1"/>
    <col min="6657" max="6657" width="9.44140625" style="1" customWidth="1"/>
    <col min="6658" max="6660" width="14.44140625" style="1" bestFit="1" customWidth="1"/>
    <col min="6661" max="6661" width="10.6640625" style="1" bestFit="1" customWidth="1"/>
    <col min="6662" max="6662" width="12.44140625" style="1" bestFit="1" customWidth="1"/>
    <col min="6663" max="6905" width="9.109375" style="1"/>
    <col min="6906" max="6906" width="13.44140625" style="1" customWidth="1"/>
    <col min="6907" max="6907" width="71.6640625" style="1" customWidth="1"/>
    <col min="6908" max="6908" width="8" style="1" customWidth="1"/>
    <col min="6909" max="6909" width="10.44140625" style="1" customWidth="1"/>
    <col min="6910" max="6910" width="17.109375" style="1" customWidth="1"/>
    <col min="6911" max="6911" width="22" style="1" customWidth="1"/>
    <col min="6912" max="6912" width="9.109375" style="1"/>
    <col min="6913" max="6913" width="9.44140625" style="1" customWidth="1"/>
    <col min="6914" max="6916" width="14.44140625" style="1" bestFit="1" customWidth="1"/>
    <col min="6917" max="6917" width="10.6640625" style="1" bestFit="1" customWidth="1"/>
    <col min="6918" max="6918" width="12.44140625" style="1" bestFit="1" customWidth="1"/>
    <col min="6919" max="7161" width="9.109375" style="1"/>
    <col min="7162" max="7162" width="13.44140625" style="1" customWidth="1"/>
    <col min="7163" max="7163" width="71.6640625" style="1" customWidth="1"/>
    <col min="7164" max="7164" width="8" style="1" customWidth="1"/>
    <col min="7165" max="7165" width="10.44140625" style="1" customWidth="1"/>
    <col min="7166" max="7166" width="17.109375" style="1" customWidth="1"/>
    <col min="7167" max="7167" width="22" style="1" customWidth="1"/>
    <col min="7168" max="7168" width="9.109375" style="1"/>
    <col min="7169" max="7169" width="9.44140625" style="1" customWidth="1"/>
    <col min="7170" max="7172" width="14.44140625" style="1" bestFit="1" customWidth="1"/>
    <col min="7173" max="7173" width="10.6640625" style="1" bestFit="1" customWidth="1"/>
    <col min="7174" max="7174" width="12.44140625" style="1" bestFit="1" customWidth="1"/>
    <col min="7175" max="7417" width="9.109375" style="1"/>
    <col min="7418" max="7418" width="13.44140625" style="1" customWidth="1"/>
    <col min="7419" max="7419" width="71.6640625" style="1" customWidth="1"/>
    <col min="7420" max="7420" width="8" style="1" customWidth="1"/>
    <col min="7421" max="7421" width="10.44140625" style="1" customWidth="1"/>
    <col min="7422" max="7422" width="17.109375" style="1" customWidth="1"/>
    <col min="7423" max="7423" width="22" style="1" customWidth="1"/>
    <col min="7424" max="7424" width="9.109375" style="1"/>
    <col min="7425" max="7425" width="9.44140625" style="1" customWidth="1"/>
    <col min="7426" max="7428" width="14.44140625" style="1" bestFit="1" customWidth="1"/>
    <col min="7429" max="7429" width="10.6640625" style="1" bestFit="1" customWidth="1"/>
    <col min="7430" max="7430" width="12.44140625" style="1" bestFit="1" customWidth="1"/>
    <col min="7431" max="7673" width="9.109375" style="1"/>
    <col min="7674" max="7674" width="13.44140625" style="1" customWidth="1"/>
    <col min="7675" max="7675" width="71.6640625" style="1" customWidth="1"/>
    <col min="7676" max="7676" width="8" style="1" customWidth="1"/>
    <col min="7677" max="7677" width="10.44140625" style="1" customWidth="1"/>
    <col min="7678" max="7678" width="17.109375" style="1" customWidth="1"/>
    <col min="7679" max="7679" width="22" style="1" customWidth="1"/>
    <col min="7680" max="7680" width="9.109375" style="1"/>
    <col min="7681" max="7681" width="9.44140625" style="1" customWidth="1"/>
    <col min="7682" max="7684" width="14.44140625" style="1" bestFit="1" customWidth="1"/>
    <col min="7685" max="7685" width="10.6640625" style="1" bestFit="1" customWidth="1"/>
    <col min="7686" max="7686" width="12.44140625" style="1" bestFit="1" customWidth="1"/>
    <col min="7687" max="7929" width="9.109375" style="1"/>
    <col min="7930" max="7930" width="13.44140625" style="1" customWidth="1"/>
    <col min="7931" max="7931" width="71.6640625" style="1" customWidth="1"/>
    <col min="7932" max="7932" width="8" style="1" customWidth="1"/>
    <col min="7933" max="7933" width="10.44140625" style="1" customWidth="1"/>
    <col min="7934" max="7934" width="17.109375" style="1" customWidth="1"/>
    <col min="7935" max="7935" width="22" style="1" customWidth="1"/>
    <col min="7936" max="7936" width="9.109375" style="1"/>
    <col min="7937" max="7937" width="9.44140625" style="1" customWidth="1"/>
    <col min="7938" max="7940" width="14.44140625" style="1" bestFit="1" customWidth="1"/>
    <col min="7941" max="7941" width="10.6640625" style="1" bestFit="1" customWidth="1"/>
    <col min="7942" max="7942" width="12.44140625" style="1" bestFit="1" customWidth="1"/>
    <col min="7943" max="8185" width="9.109375" style="1"/>
    <col min="8186" max="8186" width="13.44140625" style="1" customWidth="1"/>
    <col min="8187" max="8187" width="71.6640625" style="1" customWidth="1"/>
    <col min="8188" max="8188" width="8" style="1" customWidth="1"/>
    <col min="8189" max="8189" width="10.44140625" style="1" customWidth="1"/>
    <col min="8190" max="8190" width="17.109375" style="1" customWidth="1"/>
    <col min="8191" max="8191" width="22" style="1" customWidth="1"/>
    <col min="8192" max="8192" width="9.109375" style="1"/>
    <col min="8193" max="8193" width="9.44140625" style="1" customWidth="1"/>
    <col min="8194" max="8196" width="14.44140625" style="1" bestFit="1" customWidth="1"/>
    <col min="8197" max="8197" width="10.6640625" style="1" bestFit="1" customWidth="1"/>
    <col min="8198" max="8198" width="12.44140625" style="1" bestFit="1" customWidth="1"/>
    <col min="8199" max="8441" width="9.109375" style="1"/>
    <col min="8442" max="8442" width="13.44140625" style="1" customWidth="1"/>
    <col min="8443" max="8443" width="71.6640625" style="1" customWidth="1"/>
    <col min="8444" max="8444" width="8" style="1" customWidth="1"/>
    <col min="8445" max="8445" width="10.44140625" style="1" customWidth="1"/>
    <col min="8446" max="8446" width="17.109375" style="1" customWidth="1"/>
    <col min="8447" max="8447" width="22" style="1" customWidth="1"/>
    <col min="8448" max="8448" width="9.109375" style="1"/>
    <col min="8449" max="8449" width="9.44140625" style="1" customWidth="1"/>
    <col min="8450" max="8452" width="14.44140625" style="1" bestFit="1" customWidth="1"/>
    <col min="8453" max="8453" width="10.6640625" style="1" bestFit="1" customWidth="1"/>
    <col min="8454" max="8454" width="12.44140625" style="1" bestFit="1" customWidth="1"/>
    <col min="8455" max="8697" width="9.109375" style="1"/>
    <col min="8698" max="8698" width="13.44140625" style="1" customWidth="1"/>
    <col min="8699" max="8699" width="71.6640625" style="1" customWidth="1"/>
    <col min="8700" max="8700" width="8" style="1" customWidth="1"/>
    <col min="8701" max="8701" width="10.44140625" style="1" customWidth="1"/>
    <col min="8702" max="8702" width="17.109375" style="1" customWidth="1"/>
    <col min="8703" max="8703" width="22" style="1" customWidth="1"/>
    <col min="8704" max="8704" width="9.109375" style="1"/>
    <col min="8705" max="8705" width="9.44140625" style="1" customWidth="1"/>
    <col min="8706" max="8708" width="14.44140625" style="1" bestFit="1" customWidth="1"/>
    <col min="8709" max="8709" width="10.6640625" style="1" bestFit="1" customWidth="1"/>
    <col min="8710" max="8710" width="12.44140625" style="1" bestFit="1" customWidth="1"/>
    <col min="8711" max="8953" width="9.109375" style="1"/>
    <col min="8954" max="8954" width="13.44140625" style="1" customWidth="1"/>
    <col min="8955" max="8955" width="71.6640625" style="1" customWidth="1"/>
    <col min="8956" max="8956" width="8" style="1" customWidth="1"/>
    <col min="8957" max="8957" width="10.44140625" style="1" customWidth="1"/>
    <col min="8958" max="8958" width="17.109375" style="1" customWidth="1"/>
    <col min="8959" max="8959" width="22" style="1" customWidth="1"/>
    <col min="8960" max="8960" width="9.109375" style="1"/>
    <col min="8961" max="8961" width="9.44140625" style="1" customWidth="1"/>
    <col min="8962" max="8964" width="14.44140625" style="1" bestFit="1" customWidth="1"/>
    <col min="8965" max="8965" width="10.6640625" style="1" bestFit="1" customWidth="1"/>
    <col min="8966" max="8966" width="12.44140625" style="1" bestFit="1" customWidth="1"/>
    <col min="8967" max="9209" width="9.109375" style="1"/>
    <col min="9210" max="9210" width="13.44140625" style="1" customWidth="1"/>
    <col min="9211" max="9211" width="71.6640625" style="1" customWidth="1"/>
    <col min="9212" max="9212" width="8" style="1" customWidth="1"/>
    <col min="9213" max="9213" width="10.44140625" style="1" customWidth="1"/>
    <col min="9214" max="9214" width="17.109375" style="1" customWidth="1"/>
    <col min="9215" max="9215" width="22" style="1" customWidth="1"/>
    <col min="9216" max="9216" width="9.109375" style="1"/>
    <col min="9217" max="9217" width="9.44140625" style="1" customWidth="1"/>
    <col min="9218" max="9220" width="14.44140625" style="1" bestFit="1" customWidth="1"/>
    <col min="9221" max="9221" width="10.6640625" style="1" bestFit="1" customWidth="1"/>
    <col min="9222" max="9222" width="12.44140625" style="1" bestFit="1" customWidth="1"/>
    <col min="9223" max="9465" width="9.109375" style="1"/>
    <col min="9466" max="9466" width="13.44140625" style="1" customWidth="1"/>
    <col min="9467" max="9467" width="71.6640625" style="1" customWidth="1"/>
    <col min="9468" max="9468" width="8" style="1" customWidth="1"/>
    <col min="9469" max="9469" width="10.44140625" style="1" customWidth="1"/>
    <col min="9470" max="9470" width="17.109375" style="1" customWidth="1"/>
    <col min="9471" max="9471" width="22" style="1" customWidth="1"/>
    <col min="9472" max="9472" width="9.109375" style="1"/>
    <col min="9473" max="9473" width="9.44140625" style="1" customWidth="1"/>
    <col min="9474" max="9476" width="14.44140625" style="1" bestFit="1" customWidth="1"/>
    <col min="9477" max="9477" width="10.6640625" style="1" bestFit="1" customWidth="1"/>
    <col min="9478" max="9478" width="12.44140625" style="1" bestFit="1" customWidth="1"/>
    <col min="9479" max="9721" width="9.109375" style="1"/>
    <col min="9722" max="9722" width="13.44140625" style="1" customWidth="1"/>
    <col min="9723" max="9723" width="71.6640625" style="1" customWidth="1"/>
    <col min="9724" max="9724" width="8" style="1" customWidth="1"/>
    <col min="9725" max="9725" width="10.44140625" style="1" customWidth="1"/>
    <col min="9726" max="9726" width="17.109375" style="1" customWidth="1"/>
    <col min="9727" max="9727" width="22" style="1" customWidth="1"/>
    <col min="9728" max="9728" width="9.109375" style="1"/>
    <col min="9729" max="9729" width="9.44140625" style="1" customWidth="1"/>
    <col min="9730" max="9732" width="14.44140625" style="1" bestFit="1" customWidth="1"/>
    <col min="9733" max="9733" width="10.6640625" style="1" bestFit="1" customWidth="1"/>
    <col min="9734" max="9734" width="12.44140625" style="1" bestFit="1" customWidth="1"/>
    <col min="9735" max="9977" width="9.109375" style="1"/>
    <col min="9978" max="9978" width="13.44140625" style="1" customWidth="1"/>
    <col min="9979" max="9979" width="71.6640625" style="1" customWidth="1"/>
    <col min="9980" max="9980" width="8" style="1" customWidth="1"/>
    <col min="9981" max="9981" width="10.44140625" style="1" customWidth="1"/>
    <col min="9982" max="9982" width="17.109375" style="1" customWidth="1"/>
    <col min="9983" max="9983" width="22" style="1" customWidth="1"/>
    <col min="9984" max="9984" width="9.109375" style="1"/>
    <col min="9985" max="9985" width="9.44140625" style="1" customWidth="1"/>
    <col min="9986" max="9988" width="14.44140625" style="1" bestFit="1" customWidth="1"/>
    <col min="9989" max="9989" width="10.6640625" style="1" bestFit="1" customWidth="1"/>
    <col min="9990" max="9990" width="12.44140625" style="1" bestFit="1" customWidth="1"/>
    <col min="9991" max="10233" width="9.109375" style="1"/>
    <col min="10234" max="10234" width="13.44140625" style="1" customWidth="1"/>
    <col min="10235" max="10235" width="71.6640625" style="1" customWidth="1"/>
    <col min="10236" max="10236" width="8" style="1" customWidth="1"/>
    <col min="10237" max="10237" width="10.44140625" style="1" customWidth="1"/>
    <col min="10238" max="10238" width="17.109375" style="1" customWidth="1"/>
    <col min="10239" max="10239" width="22" style="1" customWidth="1"/>
    <col min="10240" max="10240" width="9.109375" style="1"/>
    <col min="10241" max="10241" width="9.44140625" style="1" customWidth="1"/>
    <col min="10242" max="10244" width="14.44140625" style="1" bestFit="1" customWidth="1"/>
    <col min="10245" max="10245" width="10.6640625" style="1" bestFit="1" customWidth="1"/>
    <col min="10246" max="10246" width="12.44140625" style="1" bestFit="1" customWidth="1"/>
    <col min="10247" max="10489" width="9.109375" style="1"/>
    <col min="10490" max="10490" width="13.44140625" style="1" customWidth="1"/>
    <col min="10491" max="10491" width="71.6640625" style="1" customWidth="1"/>
    <col min="10492" max="10492" width="8" style="1" customWidth="1"/>
    <col min="10493" max="10493" width="10.44140625" style="1" customWidth="1"/>
    <col min="10494" max="10494" width="17.109375" style="1" customWidth="1"/>
    <col min="10495" max="10495" width="22" style="1" customWidth="1"/>
    <col min="10496" max="10496" width="9.109375" style="1"/>
    <col min="10497" max="10497" width="9.44140625" style="1" customWidth="1"/>
    <col min="10498" max="10500" width="14.44140625" style="1" bestFit="1" customWidth="1"/>
    <col min="10501" max="10501" width="10.6640625" style="1" bestFit="1" customWidth="1"/>
    <col min="10502" max="10502" width="12.44140625" style="1" bestFit="1" customWidth="1"/>
    <col min="10503" max="10745" width="9.109375" style="1"/>
    <col min="10746" max="10746" width="13.44140625" style="1" customWidth="1"/>
    <col min="10747" max="10747" width="71.6640625" style="1" customWidth="1"/>
    <col min="10748" max="10748" width="8" style="1" customWidth="1"/>
    <col min="10749" max="10749" width="10.44140625" style="1" customWidth="1"/>
    <col min="10750" max="10750" width="17.109375" style="1" customWidth="1"/>
    <col min="10751" max="10751" width="22" style="1" customWidth="1"/>
    <col min="10752" max="10752" width="9.109375" style="1"/>
    <col min="10753" max="10753" width="9.44140625" style="1" customWidth="1"/>
    <col min="10754" max="10756" width="14.44140625" style="1" bestFit="1" customWidth="1"/>
    <col min="10757" max="10757" width="10.6640625" style="1" bestFit="1" customWidth="1"/>
    <col min="10758" max="10758" width="12.44140625" style="1" bestFit="1" customWidth="1"/>
    <col min="10759" max="11001" width="9.109375" style="1"/>
    <col min="11002" max="11002" width="13.44140625" style="1" customWidth="1"/>
    <col min="11003" max="11003" width="71.6640625" style="1" customWidth="1"/>
    <col min="11004" max="11004" width="8" style="1" customWidth="1"/>
    <col min="11005" max="11005" width="10.44140625" style="1" customWidth="1"/>
    <col min="11006" max="11006" width="17.109375" style="1" customWidth="1"/>
    <col min="11007" max="11007" width="22" style="1" customWidth="1"/>
    <col min="11008" max="11008" width="9.109375" style="1"/>
    <col min="11009" max="11009" width="9.44140625" style="1" customWidth="1"/>
    <col min="11010" max="11012" width="14.44140625" style="1" bestFit="1" customWidth="1"/>
    <col min="11013" max="11013" width="10.6640625" style="1" bestFit="1" customWidth="1"/>
    <col min="11014" max="11014" width="12.44140625" style="1" bestFit="1" customWidth="1"/>
    <col min="11015" max="11257" width="9.109375" style="1"/>
    <col min="11258" max="11258" width="13.44140625" style="1" customWidth="1"/>
    <col min="11259" max="11259" width="71.6640625" style="1" customWidth="1"/>
    <col min="11260" max="11260" width="8" style="1" customWidth="1"/>
    <col min="11261" max="11261" width="10.44140625" style="1" customWidth="1"/>
    <col min="11262" max="11262" width="17.109375" style="1" customWidth="1"/>
    <col min="11263" max="11263" width="22" style="1" customWidth="1"/>
    <col min="11264" max="11264" width="9.109375" style="1"/>
    <col min="11265" max="11265" width="9.44140625" style="1" customWidth="1"/>
    <col min="11266" max="11268" width="14.44140625" style="1" bestFit="1" customWidth="1"/>
    <col min="11269" max="11269" width="10.6640625" style="1" bestFit="1" customWidth="1"/>
    <col min="11270" max="11270" width="12.44140625" style="1" bestFit="1" customWidth="1"/>
    <col min="11271" max="11513" width="9.109375" style="1"/>
    <col min="11514" max="11514" width="13.44140625" style="1" customWidth="1"/>
    <col min="11515" max="11515" width="71.6640625" style="1" customWidth="1"/>
    <col min="11516" max="11516" width="8" style="1" customWidth="1"/>
    <col min="11517" max="11517" width="10.44140625" style="1" customWidth="1"/>
    <col min="11518" max="11518" width="17.109375" style="1" customWidth="1"/>
    <col min="11519" max="11519" width="22" style="1" customWidth="1"/>
    <col min="11520" max="11520" width="9.109375" style="1"/>
    <col min="11521" max="11521" width="9.44140625" style="1" customWidth="1"/>
    <col min="11522" max="11524" width="14.44140625" style="1" bestFit="1" customWidth="1"/>
    <col min="11525" max="11525" width="10.6640625" style="1" bestFit="1" customWidth="1"/>
    <col min="11526" max="11526" width="12.44140625" style="1" bestFit="1" customWidth="1"/>
    <col min="11527" max="11769" width="9.109375" style="1"/>
    <col min="11770" max="11770" width="13.44140625" style="1" customWidth="1"/>
    <col min="11771" max="11771" width="71.6640625" style="1" customWidth="1"/>
    <col min="11772" max="11772" width="8" style="1" customWidth="1"/>
    <col min="11773" max="11773" width="10.44140625" style="1" customWidth="1"/>
    <col min="11774" max="11774" width="17.109375" style="1" customWidth="1"/>
    <col min="11775" max="11775" width="22" style="1" customWidth="1"/>
    <col min="11776" max="11776" width="9.109375" style="1"/>
    <col min="11777" max="11777" width="9.44140625" style="1" customWidth="1"/>
    <col min="11778" max="11780" width="14.44140625" style="1" bestFit="1" customWidth="1"/>
    <col min="11781" max="11781" width="10.6640625" style="1" bestFit="1" customWidth="1"/>
    <col min="11782" max="11782" width="12.44140625" style="1" bestFit="1" customWidth="1"/>
    <col min="11783" max="12025" width="9.109375" style="1"/>
    <col min="12026" max="12026" width="13.44140625" style="1" customWidth="1"/>
    <col min="12027" max="12027" width="71.6640625" style="1" customWidth="1"/>
    <col min="12028" max="12028" width="8" style="1" customWidth="1"/>
    <col min="12029" max="12029" width="10.44140625" style="1" customWidth="1"/>
    <col min="12030" max="12030" width="17.109375" style="1" customWidth="1"/>
    <col min="12031" max="12031" width="22" style="1" customWidth="1"/>
    <col min="12032" max="12032" width="9.109375" style="1"/>
    <col min="12033" max="12033" width="9.44140625" style="1" customWidth="1"/>
    <col min="12034" max="12036" width="14.44140625" style="1" bestFit="1" customWidth="1"/>
    <col min="12037" max="12037" width="10.6640625" style="1" bestFit="1" customWidth="1"/>
    <col min="12038" max="12038" width="12.44140625" style="1" bestFit="1" customWidth="1"/>
    <col min="12039" max="12281" width="9.109375" style="1"/>
    <col min="12282" max="12282" width="13.44140625" style="1" customWidth="1"/>
    <col min="12283" max="12283" width="71.6640625" style="1" customWidth="1"/>
    <col min="12284" max="12284" width="8" style="1" customWidth="1"/>
    <col min="12285" max="12285" width="10.44140625" style="1" customWidth="1"/>
    <col min="12286" max="12286" width="17.109375" style="1" customWidth="1"/>
    <col min="12287" max="12287" width="22" style="1" customWidth="1"/>
    <col min="12288" max="12288" width="9.109375" style="1"/>
    <col min="12289" max="12289" width="9.44140625" style="1" customWidth="1"/>
    <col min="12290" max="12292" width="14.44140625" style="1" bestFit="1" customWidth="1"/>
    <col min="12293" max="12293" width="10.6640625" style="1" bestFit="1" customWidth="1"/>
    <col min="12294" max="12294" width="12.44140625" style="1" bestFit="1" customWidth="1"/>
    <col min="12295" max="12537" width="9.109375" style="1"/>
    <col min="12538" max="12538" width="13.44140625" style="1" customWidth="1"/>
    <col min="12539" max="12539" width="71.6640625" style="1" customWidth="1"/>
    <col min="12540" max="12540" width="8" style="1" customWidth="1"/>
    <col min="12541" max="12541" width="10.44140625" style="1" customWidth="1"/>
    <col min="12542" max="12542" width="17.109375" style="1" customWidth="1"/>
    <col min="12543" max="12543" width="22" style="1" customWidth="1"/>
    <col min="12544" max="12544" width="9.109375" style="1"/>
    <col min="12545" max="12545" width="9.44140625" style="1" customWidth="1"/>
    <col min="12546" max="12548" width="14.44140625" style="1" bestFit="1" customWidth="1"/>
    <col min="12549" max="12549" width="10.6640625" style="1" bestFit="1" customWidth="1"/>
    <col min="12550" max="12550" width="12.44140625" style="1" bestFit="1" customWidth="1"/>
    <col min="12551" max="12793" width="9.109375" style="1"/>
    <col min="12794" max="12794" width="13.44140625" style="1" customWidth="1"/>
    <col min="12795" max="12795" width="71.6640625" style="1" customWidth="1"/>
    <col min="12796" max="12796" width="8" style="1" customWidth="1"/>
    <col min="12797" max="12797" width="10.44140625" style="1" customWidth="1"/>
    <col min="12798" max="12798" width="17.109375" style="1" customWidth="1"/>
    <col min="12799" max="12799" width="22" style="1" customWidth="1"/>
    <col min="12800" max="12800" width="9.109375" style="1"/>
    <col min="12801" max="12801" width="9.44140625" style="1" customWidth="1"/>
    <col min="12802" max="12804" width="14.44140625" style="1" bestFit="1" customWidth="1"/>
    <col min="12805" max="12805" width="10.6640625" style="1" bestFit="1" customWidth="1"/>
    <col min="12806" max="12806" width="12.44140625" style="1" bestFit="1" customWidth="1"/>
    <col min="12807" max="13049" width="9.109375" style="1"/>
    <col min="13050" max="13050" width="13.44140625" style="1" customWidth="1"/>
    <col min="13051" max="13051" width="71.6640625" style="1" customWidth="1"/>
    <col min="13052" max="13052" width="8" style="1" customWidth="1"/>
    <col min="13053" max="13053" width="10.44140625" style="1" customWidth="1"/>
    <col min="13054" max="13054" width="17.109375" style="1" customWidth="1"/>
    <col min="13055" max="13055" width="22" style="1" customWidth="1"/>
    <col min="13056" max="13056" width="9.109375" style="1"/>
    <col min="13057" max="13057" width="9.44140625" style="1" customWidth="1"/>
    <col min="13058" max="13060" width="14.44140625" style="1" bestFit="1" customWidth="1"/>
    <col min="13061" max="13061" width="10.6640625" style="1" bestFit="1" customWidth="1"/>
    <col min="13062" max="13062" width="12.44140625" style="1" bestFit="1" customWidth="1"/>
    <col min="13063" max="13305" width="9.109375" style="1"/>
    <col min="13306" max="13306" width="13.44140625" style="1" customWidth="1"/>
    <col min="13307" max="13307" width="71.6640625" style="1" customWidth="1"/>
    <col min="13308" max="13308" width="8" style="1" customWidth="1"/>
    <col min="13309" max="13309" width="10.44140625" style="1" customWidth="1"/>
    <col min="13310" max="13310" width="17.109375" style="1" customWidth="1"/>
    <col min="13311" max="13311" width="22" style="1" customWidth="1"/>
    <col min="13312" max="13312" width="9.109375" style="1"/>
    <col min="13313" max="13313" width="9.44140625" style="1" customWidth="1"/>
    <col min="13314" max="13316" width="14.44140625" style="1" bestFit="1" customWidth="1"/>
    <col min="13317" max="13317" width="10.6640625" style="1" bestFit="1" customWidth="1"/>
    <col min="13318" max="13318" width="12.44140625" style="1" bestFit="1" customWidth="1"/>
    <col min="13319" max="13561" width="9.109375" style="1"/>
    <col min="13562" max="13562" width="13.44140625" style="1" customWidth="1"/>
    <col min="13563" max="13563" width="71.6640625" style="1" customWidth="1"/>
    <col min="13564" max="13564" width="8" style="1" customWidth="1"/>
    <col min="13565" max="13565" width="10.44140625" style="1" customWidth="1"/>
    <col min="13566" max="13566" width="17.109375" style="1" customWidth="1"/>
    <col min="13567" max="13567" width="22" style="1" customWidth="1"/>
    <col min="13568" max="13568" width="9.109375" style="1"/>
    <col min="13569" max="13569" width="9.44140625" style="1" customWidth="1"/>
    <col min="13570" max="13572" width="14.44140625" style="1" bestFit="1" customWidth="1"/>
    <col min="13573" max="13573" width="10.6640625" style="1" bestFit="1" customWidth="1"/>
    <col min="13574" max="13574" width="12.44140625" style="1" bestFit="1" customWidth="1"/>
    <col min="13575" max="13817" width="9.109375" style="1"/>
    <col min="13818" max="13818" width="13.44140625" style="1" customWidth="1"/>
    <col min="13819" max="13819" width="71.6640625" style="1" customWidth="1"/>
    <col min="13820" max="13820" width="8" style="1" customWidth="1"/>
    <col min="13821" max="13821" width="10.44140625" style="1" customWidth="1"/>
    <col min="13822" max="13822" width="17.109375" style="1" customWidth="1"/>
    <col min="13823" max="13823" width="22" style="1" customWidth="1"/>
    <col min="13824" max="13824" width="9.109375" style="1"/>
    <col min="13825" max="13825" width="9.44140625" style="1" customWidth="1"/>
    <col min="13826" max="13828" width="14.44140625" style="1" bestFit="1" customWidth="1"/>
    <col min="13829" max="13829" width="10.6640625" style="1" bestFit="1" customWidth="1"/>
    <col min="13830" max="13830" width="12.44140625" style="1" bestFit="1" customWidth="1"/>
    <col min="13831" max="14073" width="9.109375" style="1"/>
    <col min="14074" max="14074" width="13.44140625" style="1" customWidth="1"/>
    <col min="14075" max="14075" width="71.6640625" style="1" customWidth="1"/>
    <col min="14076" max="14076" width="8" style="1" customWidth="1"/>
    <col min="14077" max="14077" width="10.44140625" style="1" customWidth="1"/>
    <col min="14078" max="14078" width="17.109375" style="1" customWidth="1"/>
    <col min="14079" max="14079" width="22" style="1" customWidth="1"/>
    <col min="14080" max="14080" width="9.109375" style="1"/>
    <col min="14081" max="14081" width="9.44140625" style="1" customWidth="1"/>
    <col min="14082" max="14084" width="14.44140625" style="1" bestFit="1" customWidth="1"/>
    <col min="14085" max="14085" width="10.6640625" style="1" bestFit="1" customWidth="1"/>
    <col min="14086" max="14086" width="12.44140625" style="1" bestFit="1" customWidth="1"/>
    <col min="14087" max="14329" width="9.109375" style="1"/>
    <col min="14330" max="14330" width="13.44140625" style="1" customWidth="1"/>
    <col min="14331" max="14331" width="71.6640625" style="1" customWidth="1"/>
    <col min="14332" max="14332" width="8" style="1" customWidth="1"/>
    <col min="14333" max="14333" width="10.44140625" style="1" customWidth="1"/>
    <col min="14334" max="14334" width="17.109375" style="1" customWidth="1"/>
    <col min="14335" max="14335" width="22" style="1" customWidth="1"/>
    <col min="14336" max="14336" width="9.109375" style="1"/>
    <col min="14337" max="14337" width="9.44140625" style="1" customWidth="1"/>
    <col min="14338" max="14340" width="14.44140625" style="1" bestFit="1" customWidth="1"/>
    <col min="14341" max="14341" width="10.6640625" style="1" bestFit="1" customWidth="1"/>
    <col min="14342" max="14342" width="12.44140625" style="1" bestFit="1" customWidth="1"/>
    <col min="14343" max="14585" width="9.109375" style="1"/>
    <col min="14586" max="14586" width="13.44140625" style="1" customWidth="1"/>
    <col min="14587" max="14587" width="71.6640625" style="1" customWidth="1"/>
    <col min="14588" max="14588" width="8" style="1" customWidth="1"/>
    <col min="14589" max="14589" width="10.44140625" style="1" customWidth="1"/>
    <col min="14590" max="14590" width="17.109375" style="1" customWidth="1"/>
    <col min="14591" max="14591" width="22" style="1" customWidth="1"/>
    <col min="14592" max="14592" width="9.109375" style="1"/>
    <col min="14593" max="14593" width="9.44140625" style="1" customWidth="1"/>
    <col min="14594" max="14596" width="14.44140625" style="1" bestFit="1" customWidth="1"/>
    <col min="14597" max="14597" width="10.6640625" style="1" bestFit="1" customWidth="1"/>
    <col min="14598" max="14598" width="12.44140625" style="1" bestFit="1" customWidth="1"/>
    <col min="14599" max="14841" width="9.109375" style="1"/>
    <col min="14842" max="14842" width="13.44140625" style="1" customWidth="1"/>
    <col min="14843" max="14843" width="71.6640625" style="1" customWidth="1"/>
    <col min="14844" max="14844" width="8" style="1" customWidth="1"/>
    <col min="14845" max="14845" width="10.44140625" style="1" customWidth="1"/>
    <col min="14846" max="14846" width="17.109375" style="1" customWidth="1"/>
    <col min="14847" max="14847" width="22" style="1" customWidth="1"/>
    <col min="14848" max="14848" width="9.109375" style="1"/>
    <col min="14849" max="14849" width="9.44140625" style="1" customWidth="1"/>
    <col min="14850" max="14852" width="14.44140625" style="1" bestFit="1" customWidth="1"/>
    <col min="14853" max="14853" width="10.6640625" style="1" bestFit="1" customWidth="1"/>
    <col min="14854" max="14854" width="12.44140625" style="1" bestFit="1" customWidth="1"/>
    <col min="14855" max="15097" width="9.109375" style="1"/>
    <col min="15098" max="15098" width="13.44140625" style="1" customWidth="1"/>
    <col min="15099" max="15099" width="71.6640625" style="1" customWidth="1"/>
    <col min="15100" max="15100" width="8" style="1" customWidth="1"/>
    <col min="15101" max="15101" width="10.44140625" style="1" customWidth="1"/>
    <col min="15102" max="15102" width="17.109375" style="1" customWidth="1"/>
    <col min="15103" max="15103" width="22" style="1" customWidth="1"/>
    <col min="15104" max="15104" width="9.109375" style="1"/>
    <col min="15105" max="15105" width="9.44140625" style="1" customWidth="1"/>
    <col min="15106" max="15108" width="14.44140625" style="1" bestFit="1" customWidth="1"/>
    <col min="15109" max="15109" width="10.6640625" style="1" bestFit="1" customWidth="1"/>
    <col min="15110" max="15110" width="12.44140625" style="1" bestFit="1" customWidth="1"/>
    <col min="15111" max="15353" width="9.109375" style="1"/>
    <col min="15354" max="15354" width="13.44140625" style="1" customWidth="1"/>
    <col min="15355" max="15355" width="71.6640625" style="1" customWidth="1"/>
    <col min="15356" max="15356" width="8" style="1" customWidth="1"/>
    <col min="15357" max="15357" width="10.44140625" style="1" customWidth="1"/>
    <col min="15358" max="15358" width="17.109375" style="1" customWidth="1"/>
    <col min="15359" max="15359" width="22" style="1" customWidth="1"/>
    <col min="15360" max="15360" width="9.109375" style="1"/>
    <col min="15361" max="15361" width="9.44140625" style="1" customWidth="1"/>
    <col min="15362" max="15364" width="14.44140625" style="1" bestFit="1" customWidth="1"/>
    <col min="15365" max="15365" width="10.6640625" style="1" bestFit="1" customWidth="1"/>
    <col min="15366" max="15366" width="12.44140625" style="1" bestFit="1" customWidth="1"/>
    <col min="15367" max="15609" width="9.109375" style="1"/>
    <col min="15610" max="15610" width="13.44140625" style="1" customWidth="1"/>
    <col min="15611" max="15611" width="71.6640625" style="1" customWidth="1"/>
    <col min="15612" max="15612" width="8" style="1" customWidth="1"/>
    <col min="15613" max="15613" width="10.44140625" style="1" customWidth="1"/>
    <col min="15614" max="15614" width="17.109375" style="1" customWidth="1"/>
    <col min="15615" max="15615" width="22" style="1" customWidth="1"/>
    <col min="15616" max="15616" width="9.109375" style="1"/>
    <col min="15617" max="15617" width="9.44140625" style="1" customWidth="1"/>
    <col min="15618" max="15620" width="14.44140625" style="1" bestFit="1" customWidth="1"/>
    <col min="15621" max="15621" width="10.6640625" style="1" bestFit="1" customWidth="1"/>
    <col min="15622" max="15622" width="12.44140625" style="1" bestFit="1" customWidth="1"/>
    <col min="15623" max="15865" width="9.109375" style="1"/>
    <col min="15866" max="15866" width="13.44140625" style="1" customWidth="1"/>
    <col min="15867" max="15867" width="71.6640625" style="1" customWidth="1"/>
    <col min="15868" max="15868" width="8" style="1" customWidth="1"/>
    <col min="15869" max="15869" width="10.44140625" style="1" customWidth="1"/>
    <col min="15870" max="15870" width="17.109375" style="1" customWidth="1"/>
    <col min="15871" max="15871" width="22" style="1" customWidth="1"/>
    <col min="15872" max="15872" width="9.109375" style="1"/>
    <col min="15873" max="15873" width="9.44140625" style="1" customWidth="1"/>
    <col min="15874" max="15876" width="14.44140625" style="1" bestFit="1" customWidth="1"/>
    <col min="15877" max="15877" width="10.6640625" style="1" bestFit="1" customWidth="1"/>
    <col min="15878" max="15878" width="12.44140625" style="1" bestFit="1" customWidth="1"/>
    <col min="15879" max="16121" width="9.109375" style="1"/>
    <col min="16122" max="16122" width="13.44140625" style="1" customWidth="1"/>
    <col min="16123" max="16123" width="71.6640625" style="1" customWidth="1"/>
    <col min="16124" max="16124" width="8" style="1" customWidth="1"/>
    <col min="16125" max="16125" width="10.44140625" style="1" customWidth="1"/>
    <col min="16126" max="16126" width="17.109375" style="1" customWidth="1"/>
    <col min="16127" max="16127" width="22" style="1" customWidth="1"/>
    <col min="16128" max="16128" width="9.109375" style="1"/>
    <col min="16129" max="16129" width="9.44140625" style="1" customWidth="1"/>
    <col min="16130" max="16132" width="14.44140625" style="1" bestFit="1" customWidth="1"/>
    <col min="16133" max="16133" width="10.6640625" style="1" bestFit="1" customWidth="1"/>
    <col min="16134" max="16134" width="12.44140625" style="1" bestFit="1" customWidth="1"/>
    <col min="16135" max="16384" width="9.109375" style="1"/>
  </cols>
  <sheetData>
    <row r="1" spans="1:3">
      <c r="A1" s="257"/>
      <c r="B1" s="257"/>
      <c r="C1" s="257"/>
    </row>
    <row r="2" spans="1:3">
      <c r="A2" s="258"/>
      <c r="B2" s="258"/>
      <c r="C2" s="258"/>
    </row>
    <row r="3" spans="1:3">
      <c r="B3" s="1"/>
    </row>
    <row r="4" spans="1:3">
      <c r="A4" s="257" t="s">
        <v>11</v>
      </c>
      <c r="B4" s="257"/>
      <c r="C4" s="257"/>
    </row>
    <row r="5" spans="1:3" ht="23.4" thickBot="1">
      <c r="A5" s="256"/>
      <c r="B5" s="256"/>
      <c r="C5" s="256"/>
    </row>
    <row r="6" spans="1:3" ht="23.4" thickTop="1">
      <c r="A6" s="2" t="s">
        <v>169</v>
      </c>
      <c r="B6" s="3" t="s">
        <v>12</v>
      </c>
      <c r="C6" s="4">
        <f>BOQ!F13</f>
        <v>0</v>
      </c>
    </row>
    <row r="7" spans="1:3">
      <c r="A7" s="5" t="s">
        <v>69</v>
      </c>
      <c r="B7" s="6" t="s">
        <v>12</v>
      </c>
      <c r="C7" s="7">
        <f>BOQ!F27</f>
        <v>0</v>
      </c>
    </row>
    <row r="8" spans="1:3">
      <c r="A8" s="5" t="s">
        <v>303</v>
      </c>
      <c r="B8" s="6" t="s">
        <v>12</v>
      </c>
      <c r="C8" s="7">
        <f>BOQ!F34</f>
        <v>0</v>
      </c>
    </row>
    <row r="9" spans="1:3">
      <c r="A9" s="5" t="s">
        <v>82</v>
      </c>
      <c r="B9" s="6" t="s">
        <v>12</v>
      </c>
      <c r="C9" s="7">
        <f>BOQ!F39</f>
        <v>0</v>
      </c>
    </row>
    <row r="10" spans="1:3">
      <c r="A10" s="5" t="s">
        <v>70</v>
      </c>
      <c r="B10" s="6" t="s">
        <v>12</v>
      </c>
      <c r="C10" s="7">
        <f>BOQ!F48</f>
        <v>0</v>
      </c>
    </row>
    <row r="11" spans="1:3">
      <c r="A11" s="5" t="s">
        <v>71</v>
      </c>
      <c r="B11" s="6" t="s">
        <v>12</v>
      </c>
      <c r="C11" s="7">
        <f>BOQ!F80</f>
        <v>0</v>
      </c>
    </row>
    <row r="12" spans="1:3">
      <c r="A12" s="5" t="s">
        <v>486</v>
      </c>
      <c r="B12" s="6" t="s">
        <v>12</v>
      </c>
      <c r="C12" s="7">
        <f>BOQ!F95</f>
        <v>0</v>
      </c>
    </row>
    <row r="13" spans="1:3">
      <c r="A13" s="5" t="s">
        <v>487</v>
      </c>
      <c r="B13" s="6" t="s">
        <v>12</v>
      </c>
      <c r="C13" s="7">
        <f>BOQ!F104</f>
        <v>0</v>
      </c>
    </row>
    <row r="14" spans="1:3">
      <c r="A14" s="5" t="s">
        <v>488</v>
      </c>
      <c r="B14" s="6" t="s">
        <v>12</v>
      </c>
      <c r="C14" s="7">
        <f>BOQ!F181</f>
        <v>0</v>
      </c>
    </row>
    <row r="15" spans="1:3">
      <c r="A15" s="5" t="s">
        <v>489</v>
      </c>
      <c r="B15" s="6" t="s">
        <v>12</v>
      </c>
      <c r="C15" s="7">
        <f>BOQ!F203</f>
        <v>0</v>
      </c>
    </row>
    <row r="16" spans="1:3">
      <c r="A16" s="5" t="s">
        <v>490</v>
      </c>
      <c r="B16" s="6" t="s">
        <v>12</v>
      </c>
      <c r="C16" s="7">
        <f>BOQ!F218</f>
        <v>0</v>
      </c>
    </row>
    <row r="17" spans="1:6" ht="23.4" thickBot="1">
      <c r="A17" s="8"/>
      <c r="B17" s="6"/>
      <c r="C17" s="7"/>
    </row>
    <row r="18" spans="1:6" ht="24" thickTop="1" thickBot="1">
      <c r="A18" s="9" t="s">
        <v>63</v>
      </c>
      <c r="B18" s="10" t="s">
        <v>12</v>
      </c>
      <c r="C18" s="11">
        <f>SUM(C6:C17)</f>
        <v>0</v>
      </c>
      <c r="D18" s="21"/>
    </row>
    <row r="19" spans="1:6" ht="24" thickTop="1" thickBot="1">
      <c r="A19" s="9" t="s">
        <v>67</v>
      </c>
      <c r="B19" s="10" t="s">
        <v>12</v>
      </c>
      <c r="C19" s="11">
        <f>C18*0.15</f>
        <v>0</v>
      </c>
      <c r="D19" s="21"/>
      <c r="E19" s="21"/>
      <c r="F19" s="28"/>
    </row>
    <row r="20" spans="1:6" ht="24" thickTop="1" thickBot="1">
      <c r="A20" s="9"/>
      <c r="B20" s="10"/>
      <c r="C20" s="11"/>
      <c r="D20" s="21"/>
    </row>
    <row r="21" spans="1:6" ht="24" thickTop="1" thickBot="1">
      <c r="A21" s="9" t="s">
        <v>68</v>
      </c>
      <c r="B21" s="10" t="s">
        <v>12</v>
      </c>
      <c r="C21" s="11">
        <f>C18+C19</f>
        <v>0</v>
      </c>
      <c r="D21" s="21"/>
    </row>
    <row r="22" spans="1:6" ht="23.4" thickTop="1"/>
    <row r="35" spans="1:3">
      <c r="A35" s="259"/>
      <c r="B35" s="260"/>
      <c r="C35" s="261"/>
    </row>
    <row r="644" spans="5:5">
      <c r="E644" s="1">
        <v>2660</v>
      </c>
    </row>
    <row r="725" spans="4:5">
      <c r="D725" s="1">
        <v>60</v>
      </c>
      <c r="E725" s="1">
        <v>28500</v>
      </c>
    </row>
    <row r="732" spans="4:5">
      <c r="D732" s="1">
        <v>60</v>
      </c>
    </row>
  </sheetData>
  <sheetProtection algorithmName="SHA-512" hashValue="qHdaWp0sS94TAXorjbhfqPXbVPAEaFRJHzWxDr4KYrzjSCddfUBnVik7FX4YHbkQNWjvmuyzlRsujIhCqXI4wA==" saltValue="oVGwS+8Ac3/AvLnYBfZZkw==" spinCount="100000" sheet="1" objects="1" scenarios="1"/>
  <mergeCells count="5">
    <mergeCell ref="A5:C5"/>
    <mergeCell ref="A1:C1"/>
    <mergeCell ref="A2:C2"/>
    <mergeCell ref="A4:C4"/>
    <mergeCell ref="A35:C35"/>
  </mergeCells>
  <pageMargins left="0.70866141732283505" right="0.70866141732283505" top="0.74803149606299202" bottom="0.74803149606299202" header="0.31496062992126" footer="0.31496062992126"/>
  <pageSetup scale="74" fitToHeight="0" orientation="portrait" r:id="rId1"/>
  <headerFooter>
    <oddHeader>&amp;A</oddHeader>
    <oddFooter>&amp;CPage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8"/>
  <sheetViews>
    <sheetView tabSelected="1" view="pageBreakPreview" zoomScaleNormal="80" zoomScaleSheetLayoutView="100" workbookViewId="0">
      <selection activeCell="S71" sqref="S71"/>
    </sheetView>
  </sheetViews>
  <sheetFormatPr defaultColWidth="9.109375" defaultRowHeight="14.4"/>
  <cols>
    <col min="1" max="1" width="11.6640625" style="115" customWidth="1"/>
    <col min="2" max="2" width="64.33203125" style="12" customWidth="1"/>
    <col min="3" max="3" width="7.33203125" style="211" customWidth="1"/>
    <col min="4" max="4" width="10.44140625" style="212" bestFit="1" customWidth="1"/>
    <col min="5" max="5" width="13" style="212" customWidth="1"/>
    <col min="6" max="6" width="13.6640625" style="212" bestFit="1" customWidth="1"/>
    <col min="7" max="7" width="11.33203125" style="12" bestFit="1" customWidth="1"/>
    <col min="8" max="8" width="12.44140625" style="12" bestFit="1" customWidth="1"/>
    <col min="9" max="9" width="9.109375" style="12"/>
    <col min="10" max="10" width="12.44140625" style="12" bestFit="1" customWidth="1"/>
    <col min="11" max="11" width="9.109375" style="12"/>
    <col min="12" max="12" width="11.6640625" style="12" bestFit="1" customWidth="1"/>
    <col min="13" max="13" width="11.33203125" style="12" bestFit="1" customWidth="1"/>
    <col min="14" max="16384" width="9.109375" style="12"/>
  </cols>
  <sheetData>
    <row r="1" spans="1:7" s="25" customFormat="1" ht="15" thickBot="1">
      <c r="A1" s="262" t="s">
        <v>241</v>
      </c>
      <c r="B1" s="262"/>
      <c r="C1" s="262"/>
      <c r="D1" s="262"/>
      <c r="E1" s="262"/>
      <c r="F1" s="262"/>
      <c r="G1" s="24"/>
    </row>
    <row r="2" spans="1:7" ht="15" thickBot="1">
      <c r="A2" s="106" t="s">
        <v>0</v>
      </c>
      <c r="B2" s="15" t="s">
        <v>1</v>
      </c>
      <c r="C2" s="22" t="s">
        <v>2</v>
      </c>
      <c r="D2" s="23" t="s">
        <v>3</v>
      </c>
      <c r="E2" s="23" t="s">
        <v>4</v>
      </c>
      <c r="F2" s="23" t="s">
        <v>3</v>
      </c>
    </row>
    <row r="3" spans="1:7" s="17" customFormat="1">
      <c r="A3" s="37" t="s">
        <v>72</v>
      </c>
      <c r="B3" s="16" t="s">
        <v>147</v>
      </c>
      <c r="C3" s="183"/>
      <c r="D3" s="184"/>
      <c r="E3" s="184"/>
      <c r="F3" s="185"/>
    </row>
    <row r="4" spans="1:7" ht="51" customHeight="1">
      <c r="A4" s="107"/>
      <c r="B4" s="18" t="s">
        <v>223</v>
      </c>
      <c r="C4" s="183"/>
      <c r="D4" s="186"/>
      <c r="E4" s="186"/>
      <c r="F4" s="187"/>
    </row>
    <row r="5" spans="1:7" s="17" customFormat="1">
      <c r="A5" s="30" t="s">
        <v>86</v>
      </c>
      <c r="B5" s="102" t="s">
        <v>148</v>
      </c>
      <c r="C5" s="183"/>
      <c r="D5" s="184"/>
      <c r="E5" s="184"/>
      <c r="F5" s="185"/>
    </row>
    <row r="6" spans="1:7" ht="34.049999999999997" customHeight="1">
      <c r="A6" s="108"/>
      <c r="B6" s="18" t="s">
        <v>276</v>
      </c>
      <c r="C6" s="188"/>
      <c r="D6" s="189"/>
      <c r="E6" s="190"/>
      <c r="F6" s="190"/>
    </row>
    <row r="7" spans="1:7" ht="16.05" customHeight="1">
      <c r="A7" s="108" t="s">
        <v>87</v>
      </c>
      <c r="B7" s="18" t="s">
        <v>274</v>
      </c>
      <c r="C7" s="188" t="s">
        <v>60</v>
      </c>
      <c r="D7" s="189">
        <f>'TO-1'!C38</f>
        <v>64.600000000000009</v>
      </c>
      <c r="E7" s="190"/>
      <c r="F7" s="190">
        <f>+E7*D7</f>
        <v>0</v>
      </c>
    </row>
    <row r="8" spans="1:7" ht="16.05" customHeight="1">
      <c r="A8" s="108" t="s">
        <v>243</v>
      </c>
      <c r="B8" s="18" t="s">
        <v>275</v>
      </c>
      <c r="C8" s="188" t="s">
        <v>60</v>
      </c>
      <c r="D8" s="189">
        <f>14.75*18.25</f>
        <v>269.1875</v>
      </c>
      <c r="E8" s="190"/>
      <c r="F8" s="189">
        <f t="shared" ref="F8:F12" si="0">+E8*D8</f>
        <v>0</v>
      </c>
    </row>
    <row r="9" spans="1:7" ht="16.05" customHeight="1">
      <c r="A9" s="108" t="s">
        <v>149</v>
      </c>
      <c r="B9" s="18" t="s">
        <v>272</v>
      </c>
      <c r="C9" s="188" t="s">
        <v>60</v>
      </c>
      <c r="D9" s="189">
        <f>1.2*2.1*3+0.75*2.1*3+0.65*2.1*2</f>
        <v>15.015000000000001</v>
      </c>
      <c r="E9" s="190"/>
      <c r="F9" s="189">
        <f t="shared" si="0"/>
        <v>0</v>
      </c>
    </row>
    <row r="10" spans="1:7" ht="16.05" customHeight="1">
      <c r="A10" s="108" t="s">
        <v>224</v>
      </c>
      <c r="B10" s="18" t="s">
        <v>271</v>
      </c>
      <c r="C10" s="188" t="s">
        <v>60</v>
      </c>
      <c r="D10" s="189">
        <f>1.2*2.1*3+2.55*2.6*2</f>
        <v>20.82</v>
      </c>
      <c r="E10" s="190"/>
      <c r="F10" s="189">
        <f t="shared" si="0"/>
        <v>0</v>
      </c>
    </row>
    <row r="11" spans="1:7" ht="16.05" customHeight="1">
      <c r="A11" s="108" t="s">
        <v>278</v>
      </c>
      <c r="B11" s="18" t="s">
        <v>279</v>
      </c>
      <c r="C11" s="188" t="s">
        <v>60</v>
      </c>
      <c r="D11" s="189">
        <f>(3.25+2.5)*3.5</f>
        <v>20.125</v>
      </c>
      <c r="E11" s="190"/>
      <c r="F11" s="189">
        <f t="shared" si="0"/>
        <v>0</v>
      </c>
    </row>
    <row r="12" spans="1:7" ht="16.05" customHeight="1" thickBot="1">
      <c r="A12" s="108" t="s">
        <v>288</v>
      </c>
      <c r="B12" s="18" t="s">
        <v>273</v>
      </c>
      <c r="C12" s="188" t="s">
        <v>60</v>
      </c>
      <c r="D12" s="189">
        <f>2*2*2+1.5*2</f>
        <v>11</v>
      </c>
      <c r="E12" s="190"/>
      <c r="F12" s="189">
        <f t="shared" si="0"/>
        <v>0</v>
      </c>
    </row>
    <row r="13" spans="1:7" s="17" customFormat="1" ht="15" thickBot="1">
      <c r="A13" s="173" t="s">
        <v>72</v>
      </c>
      <c r="B13" s="99" t="s">
        <v>168</v>
      </c>
      <c r="C13" s="191"/>
      <c r="D13" s="192"/>
      <c r="E13" s="192"/>
      <c r="F13" s="193">
        <f>SUM(F7:F12)</f>
        <v>0</v>
      </c>
      <c r="G13" s="27"/>
    </row>
    <row r="14" spans="1:7" s="17" customFormat="1">
      <c r="A14" s="71" t="s">
        <v>14</v>
      </c>
      <c r="B14" s="72" t="s">
        <v>16</v>
      </c>
      <c r="C14" s="194"/>
      <c r="D14" s="195"/>
      <c r="E14" s="195"/>
      <c r="F14" s="196"/>
    </row>
    <row r="15" spans="1:7" s="17" customFormat="1">
      <c r="A15" s="30" t="s">
        <v>88</v>
      </c>
      <c r="B15" s="16" t="s">
        <v>17</v>
      </c>
      <c r="C15" s="183"/>
      <c r="D15" s="184"/>
      <c r="E15" s="184"/>
      <c r="F15" s="185"/>
    </row>
    <row r="16" spans="1:7" ht="259.95" customHeight="1">
      <c r="A16" s="30"/>
      <c r="B16" s="19" t="s">
        <v>145</v>
      </c>
      <c r="C16" s="197"/>
      <c r="D16" s="187"/>
      <c r="E16" s="190"/>
      <c r="F16" s="190"/>
    </row>
    <row r="17" spans="1:21" s="17" customFormat="1" ht="34.049999999999997" customHeight="1">
      <c r="A17" s="30" t="s">
        <v>89</v>
      </c>
      <c r="B17" s="29" t="s">
        <v>73</v>
      </c>
      <c r="C17" s="183"/>
      <c r="D17" s="184"/>
      <c r="E17" s="184"/>
      <c r="F17" s="185"/>
    </row>
    <row r="18" spans="1:21" ht="16.2">
      <c r="A18" s="108" t="s">
        <v>90</v>
      </c>
      <c r="B18" s="18" t="s">
        <v>225</v>
      </c>
      <c r="C18" s="197" t="s">
        <v>60</v>
      </c>
      <c r="D18" s="189">
        <f>3.5*4</f>
        <v>14</v>
      </c>
      <c r="E18" s="190"/>
      <c r="F18" s="190">
        <f>+D18*E18</f>
        <v>0</v>
      </c>
      <c r="G18" s="171"/>
      <c r="H18" s="171"/>
      <c r="I18" s="171"/>
    </row>
    <row r="19" spans="1:21" ht="16.2">
      <c r="A19" s="108" t="s">
        <v>354</v>
      </c>
      <c r="B19" s="18" t="s">
        <v>376</v>
      </c>
      <c r="C19" s="197" t="s">
        <v>60</v>
      </c>
      <c r="D19" s="189">
        <f>1.2*3</f>
        <v>3.5999999999999996</v>
      </c>
      <c r="E19" s="190"/>
      <c r="F19" s="189">
        <f t="shared" ref="F19:F33" si="1">+D19*E19</f>
        <v>0</v>
      </c>
      <c r="G19" s="171"/>
      <c r="H19" s="171"/>
      <c r="I19" s="171"/>
    </row>
    <row r="20" spans="1:21" s="17" customFormat="1">
      <c r="A20" s="30" t="s">
        <v>91</v>
      </c>
      <c r="B20" s="16" t="s">
        <v>6</v>
      </c>
      <c r="C20" s="183"/>
      <c r="D20" s="184"/>
      <c r="E20" s="184"/>
      <c r="F20" s="189"/>
    </row>
    <row r="21" spans="1:21" s="17" customFormat="1" ht="49.05" customHeight="1">
      <c r="A21" s="30" t="s">
        <v>92</v>
      </c>
      <c r="B21" s="29" t="s">
        <v>74</v>
      </c>
      <c r="C21" s="183"/>
      <c r="D21" s="184"/>
      <c r="E21" s="184"/>
      <c r="F21" s="189"/>
    </row>
    <row r="22" spans="1:21">
      <c r="A22" s="108" t="s">
        <v>93</v>
      </c>
      <c r="B22" s="18" t="s">
        <v>231</v>
      </c>
      <c r="C22" s="198" t="s">
        <v>75</v>
      </c>
      <c r="D22" s="189">
        <f>3.5*4</f>
        <v>14</v>
      </c>
      <c r="E22" s="190"/>
      <c r="F22" s="189">
        <f t="shared" si="1"/>
        <v>0</v>
      </c>
    </row>
    <row r="23" spans="1:21" ht="16.2">
      <c r="A23" s="108" t="s">
        <v>226</v>
      </c>
      <c r="B23" s="18" t="s">
        <v>377</v>
      </c>
      <c r="C23" s="197" t="s">
        <v>60</v>
      </c>
      <c r="D23" s="189">
        <f>1.2*3</f>
        <v>3.5999999999999996</v>
      </c>
      <c r="E23" s="190"/>
      <c r="F23" s="189">
        <f t="shared" si="1"/>
        <v>0</v>
      </c>
    </row>
    <row r="24" spans="1:21">
      <c r="A24" s="30" t="s">
        <v>173</v>
      </c>
      <c r="B24" s="16" t="s">
        <v>8</v>
      </c>
      <c r="C24" s="183"/>
      <c r="D24" s="184"/>
      <c r="E24" s="184"/>
      <c r="F24" s="189"/>
    </row>
    <row r="25" spans="1:21" s="17" customFormat="1" ht="51" customHeight="1">
      <c r="A25" s="108"/>
      <c r="B25" s="32" t="s">
        <v>373</v>
      </c>
      <c r="C25" s="198"/>
      <c r="D25" s="187"/>
      <c r="E25" s="190"/>
      <c r="F25" s="189">
        <f t="shared" si="1"/>
        <v>0</v>
      </c>
      <c r="G25" s="12"/>
      <c r="H25" s="12"/>
      <c r="I25" s="12"/>
      <c r="J25" s="12"/>
      <c r="K25" s="12"/>
      <c r="L25" s="12"/>
      <c r="M25" s="12"/>
      <c r="O25" s="12"/>
    </row>
    <row r="26" spans="1:21" ht="21" customHeight="1" thickBot="1">
      <c r="A26" s="108" t="s">
        <v>174</v>
      </c>
      <c r="B26" s="18" t="s">
        <v>18</v>
      </c>
      <c r="C26" s="188" t="s">
        <v>9</v>
      </c>
      <c r="D26" s="187">
        <f>'Re-bar'!I12</f>
        <v>63.2</v>
      </c>
      <c r="E26" s="190"/>
      <c r="F26" s="277">
        <f t="shared" si="1"/>
        <v>0</v>
      </c>
      <c r="H26" s="172"/>
      <c r="N26" s="17"/>
      <c r="P26" s="17"/>
      <c r="Q26" s="17"/>
      <c r="R26" s="17"/>
      <c r="S26" s="17"/>
      <c r="T26" s="17"/>
      <c r="U26" s="17"/>
    </row>
    <row r="27" spans="1:21" s="17" customFormat="1" ht="15" thickBot="1">
      <c r="A27" s="173" t="s">
        <v>14</v>
      </c>
      <c r="B27" s="99" t="s">
        <v>10</v>
      </c>
      <c r="C27" s="191"/>
      <c r="D27" s="192"/>
      <c r="E27" s="192"/>
      <c r="F27" s="279">
        <f>SUM(F18:F26)</f>
        <v>0</v>
      </c>
      <c r="G27" s="27"/>
    </row>
    <row r="28" spans="1:21" s="17" customFormat="1">
      <c r="A28" s="71" t="s">
        <v>15</v>
      </c>
      <c r="B28" s="116" t="s">
        <v>302</v>
      </c>
      <c r="C28" s="194"/>
      <c r="D28" s="195"/>
      <c r="E28" s="195"/>
      <c r="F28" s="278"/>
    </row>
    <row r="29" spans="1:21" s="17" customFormat="1">
      <c r="A29" s="30" t="s">
        <v>355</v>
      </c>
      <c r="B29" s="102" t="s">
        <v>20</v>
      </c>
      <c r="C29" s="183"/>
      <c r="D29" s="184"/>
      <c r="E29" s="184"/>
      <c r="F29" s="189"/>
    </row>
    <row r="30" spans="1:21" s="17" customFormat="1" ht="34.950000000000003" customHeight="1">
      <c r="A30" s="30" t="s">
        <v>356</v>
      </c>
      <c r="B30" s="29" t="s">
        <v>62</v>
      </c>
      <c r="C30" s="183"/>
      <c r="D30" s="184"/>
      <c r="E30" s="184"/>
      <c r="F30" s="189"/>
    </row>
    <row r="31" spans="1:21" ht="34.950000000000003" customHeight="1">
      <c r="A31" s="108" t="s">
        <v>357</v>
      </c>
      <c r="B31" s="117" t="s">
        <v>65</v>
      </c>
      <c r="C31" s="198" t="s">
        <v>5</v>
      </c>
      <c r="D31" s="189">
        <f>'TO-1'!C75</f>
        <v>40.104999999999997</v>
      </c>
      <c r="E31" s="190"/>
      <c r="F31" s="189">
        <f t="shared" si="1"/>
        <v>0</v>
      </c>
      <c r="G31" s="26"/>
      <c r="H31" s="26"/>
      <c r="I31" s="26"/>
      <c r="J31" s="26"/>
      <c r="K31" s="26"/>
      <c r="L31" s="26"/>
    </row>
    <row r="32" spans="1:21" ht="36" customHeight="1">
      <c r="A32" s="108" t="s">
        <v>358</v>
      </c>
      <c r="B32" s="117" t="s">
        <v>66</v>
      </c>
      <c r="C32" s="198" t="s">
        <v>5</v>
      </c>
      <c r="D32" s="189">
        <f>'TO-1'!C84</f>
        <v>29.549999999999997</v>
      </c>
      <c r="E32" s="190"/>
      <c r="F32" s="189">
        <f t="shared" si="1"/>
        <v>0</v>
      </c>
      <c r="G32" s="26"/>
      <c r="H32" s="26"/>
      <c r="I32" s="26"/>
      <c r="J32" s="26"/>
      <c r="K32" s="26"/>
      <c r="L32" s="26"/>
    </row>
    <row r="33" spans="1:26" ht="19.05" customHeight="1" thickBot="1">
      <c r="A33" s="108" t="s">
        <v>359</v>
      </c>
      <c r="B33" s="117" t="s">
        <v>304</v>
      </c>
      <c r="C33" s="198" t="s">
        <v>5</v>
      </c>
      <c r="D33" s="189">
        <f>'TO-1'!C96</f>
        <v>22</v>
      </c>
      <c r="E33" s="190"/>
      <c r="F33" s="189">
        <f t="shared" si="1"/>
        <v>0</v>
      </c>
      <c r="G33" s="26"/>
      <c r="H33" s="26"/>
      <c r="I33" s="26"/>
      <c r="J33" s="26"/>
      <c r="K33" s="26"/>
      <c r="L33" s="26"/>
    </row>
    <row r="34" spans="1:26" s="17" customFormat="1" ht="15" thickBot="1">
      <c r="A34" s="173" t="s">
        <v>15</v>
      </c>
      <c r="B34" s="99" t="s">
        <v>13</v>
      </c>
      <c r="C34" s="191"/>
      <c r="D34" s="192"/>
      <c r="E34" s="192"/>
      <c r="F34" s="193">
        <f>SUM(F31:F33)</f>
        <v>0</v>
      </c>
    </row>
    <row r="35" spans="1:26" s="17" customFormat="1" ht="21.75" customHeight="1">
      <c r="A35" s="37" t="s">
        <v>19</v>
      </c>
      <c r="B35" s="16" t="s">
        <v>83</v>
      </c>
      <c r="C35" s="183"/>
      <c r="D35" s="184"/>
      <c r="E35" s="184"/>
      <c r="F35" s="185"/>
    </row>
    <row r="36" spans="1:26" ht="46.95" customHeight="1">
      <c r="A36" s="213">
        <v>4.0999999999999996</v>
      </c>
      <c r="B36" s="36" t="s">
        <v>175</v>
      </c>
      <c r="C36" s="198" t="s">
        <v>5</v>
      </c>
      <c r="D36" s="187">
        <f>14.75*18.25*0.3</f>
        <v>80.756249999999994</v>
      </c>
      <c r="E36" s="199"/>
      <c r="F36" s="190">
        <f>+D36*E36</f>
        <v>0</v>
      </c>
    </row>
    <row r="37" spans="1:26" ht="49.95" customHeight="1">
      <c r="A37" s="213">
        <v>4.2</v>
      </c>
      <c r="B37" s="36" t="s">
        <v>371</v>
      </c>
      <c r="C37" s="198" t="s">
        <v>7</v>
      </c>
      <c r="D37" s="187">
        <f>18.25*2</f>
        <v>36.5</v>
      </c>
      <c r="E37" s="199"/>
      <c r="F37" s="189">
        <f t="shared" ref="F37:F38" si="2">+D37*E37</f>
        <v>0</v>
      </c>
    </row>
    <row r="38" spans="1:26" ht="36" customHeight="1" thickBot="1">
      <c r="A38" s="213">
        <v>4.3</v>
      </c>
      <c r="B38" s="36" t="s">
        <v>372</v>
      </c>
      <c r="C38" s="198" t="s">
        <v>7</v>
      </c>
      <c r="D38" s="187">
        <f>3*5</f>
        <v>15</v>
      </c>
      <c r="E38" s="199"/>
      <c r="F38" s="189">
        <f t="shared" si="2"/>
        <v>0</v>
      </c>
    </row>
    <row r="39" spans="1:26" s="17" customFormat="1" ht="15" thickBot="1">
      <c r="A39" s="173" t="s">
        <v>19</v>
      </c>
      <c r="B39" s="99" t="s">
        <v>84</v>
      </c>
      <c r="C39" s="191"/>
      <c r="D39" s="192"/>
      <c r="E39" s="192"/>
      <c r="F39" s="193">
        <f>SUM(F36:F38)</f>
        <v>0</v>
      </c>
    </row>
    <row r="40" spans="1:26" s="17" customFormat="1">
      <c r="A40" s="30" t="s">
        <v>21</v>
      </c>
      <c r="B40" s="16" t="s">
        <v>58</v>
      </c>
      <c r="C40" s="183"/>
      <c r="D40" s="184"/>
      <c r="E40" s="184"/>
      <c r="F40" s="185"/>
    </row>
    <row r="41" spans="1:26" s="17" customFormat="1">
      <c r="A41" s="213" t="s">
        <v>76</v>
      </c>
      <c r="B41" s="20" t="s">
        <v>64</v>
      </c>
      <c r="C41" s="183"/>
      <c r="D41" s="184"/>
      <c r="E41" s="184"/>
      <c r="F41" s="185"/>
      <c r="G41" s="12"/>
      <c r="H41" s="12"/>
      <c r="I41" s="12"/>
      <c r="J41" s="12"/>
      <c r="K41" s="12"/>
      <c r="L41" s="12"/>
    </row>
    <row r="42" spans="1:26" ht="49.95" customHeight="1">
      <c r="A42" s="109" t="s">
        <v>77</v>
      </c>
      <c r="B42" s="36" t="s">
        <v>230</v>
      </c>
      <c r="C42" s="198" t="s">
        <v>5</v>
      </c>
      <c r="D42" s="187">
        <f>D8+14</f>
        <v>283.1875</v>
      </c>
      <c r="E42" s="199"/>
      <c r="F42" s="190">
        <f>+D42*E42</f>
        <v>0</v>
      </c>
    </row>
    <row r="43" spans="1:26" s="17" customFormat="1">
      <c r="A43" s="213" t="s">
        <v>386</v>
      </c>
      <c r="B43" s="36" t="s">
        <v>387</v>
      </c>
      <c r="C43" s="198"/>
      <c r="D43" s="187"/>
      <c r="E43" s="199"/>
      <c r="F43" s="189">
        <f t="shared" ref="F43:F47" si="3">+D43*E43</f>
        <v>0</v>
      </c>
      <c r="G43" s="12"/>
      <c r="H43" s="12"/>
      <c r="I43" s="12"/>
      <c r="J43" s="12"/>
      <c r="K43" s="12"/>
      <c r="L43" s="12"/>
    </row>
    <row r="44" spans="1:26" customFormat="1" ht="48" customHeight="1">
      <c r="A44" s="109"/>
      <c r="B44" s="36" t="s">
        <v>388</v>
      </c>
      <c r="C44" s="198"/>
      <c r="D44" s="187"/>
      <c r="E44" s="199"/>
      <c r="F44" s="189">
        <f t="shared" si="3"/>
        <v>0</v>
      </c>
      <c r="G44" s="100"/>
      <c r="H44" s="100"/>
      <c r="I44" s="100"/>
      <c r="J44" s="100"/>
      <c r="K44" s="100"/>
      <c r="L44" s="100"/>
      <c r="M44" s="100"/>
      <c r="N44" s="100"/>
      <c r="O44" s="100"/>
      <c r="P44" s="100"/>
      <c r="Q44" s="100"/>
      <c r="R44" s="100"/>
      <c r="S44" s="100"/>
      <c r="T44" s="100"/>
      <c r="U44" s="100"/>
      <c r="V44" s="100"/>
      <c r="W44" s="100"/>
      <c r="X44" s="100"/>
      <c r="Y44" s="100"/>
      <c r="Z44" s="100"/>
    </row>
    <row r="45" spans="1:26" customFormat="1" ht="15.75" customHeight="1">
      <c r="A45" s="109" t="s">
        <v>389</v>
      </c>
      <c r="B45" s="36" t="s">
        <v>383</v>
      </c>
      <c r="C45" s="198" t="s">
        <v>7</v>
      </c>
      <c r="D45" s="187">
        <v>16</v>
      </c>
      <c r="E45" s="199"/>
      <c r="F45" s="189">
        <f t="shared" si="3"/>
        <v>0</v>
      </c>
      <c r="G45" s="100"/>
      <c r="H45" s="100"/>
      <c r="I45" s="100"/>
      <c r="J45" s="100"/>
      <c r="K45" s="100"/>
      <c r="L45" s="100"/>
      <c r="M45" s="100"/>
      <c r="N45" s="100"/>
      <c r="O45" s="100"/>
      <c r="P45" s="100"/>
      <c r="Q45" s="100"/>
      <c r="R45" s="100"/>
      <c r="S45" s="100"/>
      <c r="T45" s="100"/>
      <c r="U45" s="100"/>
      <c r="V45" s="100"/>
      <c r="W45" s="100"/>
      <c r="X45" s="100"/>
      <c r="Y45" s="100"/>
      <c r="Z45" s="100"/>
    </row>
    <row r="46" spans="1:26" customFormat="1" ht="15.75" customHeight="1">
      <c r="A46" s="109" t="s">
        <v>390</v>
      </c>
      <c r="B46" s="36" t="s">
        <v>384</v>
      </c>
      <c r="C46" s="198" t="s">
        <v>7</v>
      </c>
      <c r="D46" s="187">
        <v>8</v>
      </c>
      <c r="E46" s="199"/>
      <c r="F46" s="189">
        <f t="shared" si="3"/>
        <v>0</v>
      </c>
      <c r="G46" s="100"/>
      <c r="H46" s="100"/>
      <c r="I46" s="100"/>
      <c r="J46" s="100"/>
      <c r="K46" s="100"/>
      <c r="L46" s="100"/>
      <c r="M46" s="100"/>
      <c r="N46" s="100"/>
      <c r="O46" s="100"/>
      <c r="P46" s="100"/>
      <c r="Q46" s="100"/>
      <c r="R46" s="100"/>
      <c r="S46" s="100"/>
      <c r="T46" s="100"/>
      <c r="U46" s="100"/>
      <c r="V46" s="100"/>
      <c r="W46" s="100"/>
      <c r="X46" s="100"/>
      <c r="Y46" s="100"/>
      <c r="Z46" s="100"/>
    </row>
    <row r="47" spans="1:26" customFormat="1" ht="15.75" customHeight="1" thickBot="1">
      <c r="A47" s="109" t="s">
        <v>391</v>
      </c>
      <c r="B47" s="36" t="s">
        <v>385</v>
      </c>
      <c r="C47" s="198" t="s">
        <v>7</v>
      </c>
      <c r="D47" s="187">
        <v>9</v>
      </c>
      <c r="E47" s="199"/>
      <c r="F47" s="189">
        <f t="shared" si="3"/>
        <v>0</v>
      </c>
      <c r="G47" s="100"/>
      <c r="H47" s="100"/>
      <c r="I47" s="100"/>
      <c r="J47" s="100"/>
      <c r="K47" s="100"/>
      <c r="L47" s="100"/>
      <c r="M47" s="100"/>
      <c r="N47" s="100"/>
      <c r="O47" s="100"/>
      <c r="P47" s="100"/>
      <c r="Q47" s="100"/>
      <c r="R47" s="100"/>
      <c r="S47" s="100"/>
      <c r="T47" s="100"/>
      <c r="U47" s="100"/>
      <c r="V47" s="100"/>
      <c r="W47" s="100"/>
      <c r="X47" s="100"/>
      <c r="Y47" s="100"/>
      <c r="Z47" s="100"/>
    </row>
    <row r="48" spans="1:26" s="17" customFormat="1" ht="15" thickBot="1">
      <c r="A48" s="173" t="s">
        <v>21</v>
      </c>
      <c r="B48" s="99" t="s">
        <v>59</v>
      </c>
      <c r="C48" s="191"/>
      <c r="D48" s="192"/>
      <c r="E48" s="192"/>
      <c r="F48" s="193">
        <f>SUM(F42:F47)</f>
        <v>0</v>
      </c>
    </row>
    <row r="49" spans="1:6" s="17" customFormat="1">
      <c r="A49" s="71" t="s">
        <v>94</v>
      </c>
      <c r="B49" s="72" t="s">
        <v>22</v>
      </c>
      <c r="C49" s="194"/>
      <c r="D49" s="195"/>
      <c r="E49" s="195"/>
      <c r="F49" s="196"/>
    </row>
    <row r="50" spans="1:6" s="17" customFormat="1">
      <c r="A50" s="30" t="s">
        <v>78</v>
      </c>
      <c r="B50" s="16" t="s">
        <v>216</v>
      </c>
      <c r="C50" s="183"/>
      <c r="D50" s="184"/>
      <c r="E50" s="184"/>
      <c r="F50" s="185"/>
    </row>
    <row r="51" spans="1:6" s="17" customFormat="1" ht="93" customHeight="1">
      <c r="A51" s="110"/>
      <c r="B51" s="31" t="s">
        <v>520</v>
      </c>
      <c r="C51" s="200"/>
      <c r="D51" s="201"/>
      <c r="E51" s="202"/>
      <c r="F51" s="203"/>
    </row>
    <row r="52" spans="1:6" s="17" customFormat="1" ht="94.05" customHeight="1">
      <c r="A52" s="110"/>
      <c r="B52" s="31" t="s">
        <v>61</v>
      </c>
      <c r="C52" s="200"/>
      <c r="D52" s="201"/>
      <c r="E52" s="202"/>
      <c r="F52" s="203"/>
    </row>
    <row r="53" spans="1:6" s="174" customFormat="1" ht="16.05" customHeight="1">
      <c r="A53" s="111" t="s">
        <v>79</v>
      </c>
      <c r="B53" s="31" t="s">
        <v>277</v>
      </c>
      <c r="C53" s="200" t="s">
        <v>23</v>
      </c>
      <c r="D53" s="204">
        <v>1</v>
      </c>
      <c r="E53" s="190"/>
      <c r="F53" s="205">
        <f>+D53*E53</f>
        <v>0</v>
      </c>
    </row>
    <row r="54" spans="1:6" s="174" customFormat="1" ht="16.05" customHeight="1">
      <c r="A54" s="111" t="s">
        <v>80</v>
      </c>
      <c r="B54" s="31" t="s">
        <v>342</v>
      </c>
      <c r="C54" s="200" t="s">
        <v>23</v>
      </c>
      <c r="D54" s="204">
        <v>1</v>
      </c>
      <c r="E54" s="190"/>
      <c r="F54" s="227">
        <f t="shared" ref="F54:F79" si="4">+D54*E54</f>
        <v>0</v>
      </c>
    </row>
    <row r="55" spans="1:6" s="174" customFormat="1" ht="16.05" customHeight="1">
      <c r="A55" s="111" t="s">
        <v>220</v>
      </c>
      <c r="B55" s="31" t="s">
        <v>287</v>
      </c>
      <c r="C55" s="200" t="s">
        <v>23</v>
      </c>
      <c r="D55" s="204">
        <v>1</v>
      </c>
      <c r="E55" s="190"/>
      <c r="F55" s="227">
        <f t="shared" si="4"/>
        <v>0</v>
      </c>
    </row>
    <row r="56" spans="1:6" s="174" customFormat="1" ht="16.05" customHeight="1">
      <c r="A56" s="111" t="s">
        <v>221</v>
      </c>
      <c r="B56" s="31" t="s">
        <v>289</v>
      </c>
      <c r="C56" s="200" t="s">
        <v>23</v>
      </c>
      <c r="D56" s="204">
        <v>2</v>
      </c>
      <c r="E56" s="190"/>
      <c r="F56" s="227">
        <f t="shared" si="4"/>
        <v>0</v>
      </c>
    </row>
    <row r="57" spans="1:6" s="174" customFormat="1" ht="16.05" customHeight="1">
      <c r="A57" s="111" t="s">
        <v>360</v>
      </c>
      <c r="B57" s="31" t="s">
        <v>290</v>
      </c>
      <c r="C57" s="200" t="s">
        <v>23</v>
      </c>
      <c r="D57" s="204">
        <v>1</v>
      </c>
      <c r="E57" s="190"/>
      <c r="F57" s="227">
        <f t="shared" si="4"/>
        <v>0</v>
      </c>
    </row>
    <row r="58" spans="1:6" s="174" customFormat="1" ht="16.05" customHeight="1">
      <c r="A58" s="111" t="s">
        <v>361</v>
      </c>
      <c r="B58" s="31" t="s">
        <v>291</v>
      </c>
      <c r="C58" s="200" t="s">
        <v>23</v>
      </c>
      <c r="D58" s="204">
        <v>1</v>
      </c>
      <c r="E58" s="190"/>
      <c r="F58" s="227">
        <f t="shared" si="4"/>
        <v>0</v>
      </c>
    </row>
    <row r="59" spans="1:6" s="174" customFormat="1" ht="16.05" customHeight="1">
      <c r="A59" s="111" t="s">
        <v>362</v>
      </c>
      <c r="B59" s="31" t="s">
        <v>292</v>
      </c>
      <c r="C59" s="200" t="s">
        <v>23</v>
      </c>
      <c r="D59" s="204">
        <v>1</v>
      </c>
      <c r="E59" s="190"/>
      <c r="F59" s="227">
        <f t="shared" si="4"/>
        <v>0</v>
      </c>
    </row>
    <row r="60" spans="1:6" s="174" customFormat="1" ht="16.05" customHeight="1">
      <c r="A60" s="111" t="s">
        <v>363</v>
      </c>
      <c r="B60" s="31" t="s">
        <v>293</v>
      </c>
      <c r="C60" s="200" t="s">
        <v>23</v>
      </c>
      <c r="D60" s="204">
        <v>1</v>
      </c>
      <c r="E60" s="190"/>
      <c r="F60" s="227">
        <f t="shared" si="4"/>
        <v>0</v>
      </c>
    </row>
    <row r="61" spans="1:6" s="174" customFormat="1" ht="16.05" customHeight="1">
      <c r="A61" s="111" t="s">
        <v>364</v>
      </c>
      <c r="B61" s="31" t="s">
        <v>294</v>
      </c>
      <c r="C61" s="200" t="s">
        <v>23</v>
      </c>
      <c r="D61" s="204">
        <v>1</v>
      </c>
      <c r="E61" s="190"/>
      <c r="F61" s="227">
        <f t="shared" si="4"/>
        <v>0</v>
      </c>
    </row>
    <row r="62" spans="1:6" s="174" customFormat="1" ht="16.05" customHeight="1">
      <c r="A62" s="111" t="s">
        <v>365</v>
      </c>
      <c r="B62" s="31" t="s">
        <v>300</v>
      </c>
      <c r="C62" s="200" t="s">
        <v>23</v>
      </c>
      <c r="D62" s="204">
        <v>1</v>
      </c>
      <c r="E62" s="190"/>
      <c r="F62" s="227">
        <f t="shared" si="4"/>
        <v>0</v>
      </c>
    </row>
    <row r="63" spans="1:6" s="174" customFormat="1" ht="16.05" customHeight="1">
      <c r="A63" s="111" t="s">
        <v>366</v>
      </c>
      <c r="B63" s="31" t="s">
        <v>374</v>
      </c>
      <c r="C63" s="200" t="s">
        <v>23</v>
      </c>
      <c r="D63" s="204">
        <v>3</v>
      </c>
      <c r="E63" s="190"/>
      <c r="F63" s="227">
        <f t="shared" si="4"/>
        <v>0</v>
      </c>
    </row>
    <row r="64" spans="1:6" s="174" customFormat="1" ht="16.05" customHeight="1">
      <c r="A64" s="111" t="s">
        <v>367</v>
      </c>
      <c r="B64" s="31" t="s">
        <v>301</v>
      </c>
      <c r="C64" s="200" t="s">
        <v>23</v>
      </c>
      <c r="D64" s="204">
        <v>1</v>
      </c>
      <c r="E64" s="190"/>
      <c r="F64" s="227">
        <f t="shared" si="4"/>
        <v>0</v>
      </c>
    </row>
    <row r="65" spans="1:25" s="174" customFormat="1" ht="16.05" customHeight="1">
      <c r="A65" s="111" t="s">
        <v>368</v>
      </c>
      <c r="B65" s="31" t="s">
        <v>317</v>
      </c>
      <c r="C65" s="200" t="s">
        <v>23</v>
      </c>
      <c r="D65" s="204">
        <v>1</v>
      </c>
      <c r="E65" s="190"/>
      <c r="F65" s="227">
        <f t="shared" si="4"/>
        <v>0</v>
      </c>
    </row>
    <row r="66" spans="1:25" s="17" customFormat="1">
      <c r="A66" s="30" t="s">
        <v>218</v>
      </c>
      <c r="B66" s="16" t="s">
        <v>280</v>
      </c>
      <c r="C66" s="183"/>
      <c r="D66" s="184"/>
      <c r="E66" s="184"/>
      <c r="F66" s="227"/>
    </row>
    <row r="67" spans="1:25" s="105" customFormat="1" ht="79.95" customHeight="1">
      <c r="A67" s="104"/>
      <c r="B67" s="31" t="s">
        <v>521</v>
      </c>
      <c r="C67" s="183"/>
      <c r="D67" s="184"/>
      <c r="E67" s="184"/>
      <c r="F67" s="227">
        <f t="shared" si="4"/>
        <v>0</v>
      </c>
    </row>
    <row r="68" spans="1:25" s="105" customFormat="1">
      <c r="A68" s="111" t="s">
        <v>369</v>
      </c>
      <c r="B68" s="36" t="s">
        <v>286</v>
      </c>
      <c r="C68" s="198" t="s">
        <v>23</v>
      </c>
      <c r="D68" s="187">
        <v>2</v>
      </c>
      <c r="E68" s="199"/>
      <c r="F68" s="227">
        <f t="shared" si="4"/>
        <v>0</v>
      </c>
    </row>
    <row r="69" spans="1:25" s="17" customFormat="1">
      <c r="A69" s="30" t="s">
        <v>281</v>
      </c>
      <c r="B69" s="16" t="s">
        <v>219</v>
      </c>
      <c r="C69" s="183"/>
      <c r="D69" s="184"/>
      <c r="E69" s="184"/>
      <c r="F69" s="227"/>
    </row>
    <row r="70" spans="1:25" s="105" customFormat="1" ht="64.95" customHeight="1">
      <c r="A70" s="104"/>
      <c r="B70" s="36" t="s">
        <v>296</v>
      </c>
      <c r="C70" s="183"/>
      <c r="D70" s="184"/>
      <c r="E70" s="184"/>
      <c r="F70" s="227">
        <f t="shared" si="4"/>
        <v>0</v>
      </c>
    </row>
    <row r="71" spans="1:25" s="105" customFormat="1">
      <c r="A71" s="111" t="s">
        <v>282</v>
      </c>
      <c r="B71" s="36" t="s">
        <v>297</v>
      </c>
      <c r="C71" s="198" t="s">
        <v>23</v>
      </c>
      <c r="D71" s="187">
        <v>1</v>
      </c>
      <c r="E71" s="199"/>
      <c r="F71" s="227">
        <f t="shared" si="4"/>
        <v>0</v>
      </c>
    </row>
    <row r="72" spans="1:25" s="105" customFormat="1">
      <c r="A72" s="111" t="s">
        <v>283</v>
      </c>
      <c r="B72" s="36" t="s">
        <v>295</v>
      </c>
      <c r="C72" s="198" t="s">
        <v>23</v>
      </c>
      <c r="D72" s="187">
        <v>1</v>
      </c>
      <c r="E72" s="199"/>
      <c r="F72" s="227">
        <f t="shared" si="4"/>
        <v>0</v>
      </c>
    </row>
    <row r="73" spans="1:25" s="105" customFormat="1">
      <c r="A73" s="111" t="s">
        <v>284</v>
      </c>
      <c r="B73" s="36" t="s">
        <v>298</v>
      </c>
      <c r="C73" s="198" t="s">
        <v>23</v>
      </c>
      <c r="D73" s="187">
        <v>1</v>
      </c>
      <c r="E73" s="199"/>
      <c r="F73" s="227">
        <f t="shared" si="4"/>
        <v>0</v>
      </c>
    </row>
    <row r="74" spans="1:25" s="105" customFormat="1">
      <c r="A74" s="111" t="s">
        <v>285</v>
      </c>
      <c r="B74" s="36" t="s">
        <v>299</v>
      </c>
      <c r="C74" s="198" t="s">
        <v>23</v>
      </c>
      <c r="D74" s="187">
        <v>1</v>
      </c>
      <c r="E74" s="199"/>
      <c r="F74" s="227">
        <f t="shared" si="4"/>
        <v>0</v>
      </c>
    </row>
    <row r="75" spans="1:25" s="17" customFormat="1">
      <c r="A75" s="30" t="s">
        <v>375</v>
      </c>
      <c r="B75" s="16" t="s">
        <v>378</v>
      </c>
      <c r="C75" s="183"/>
      <c r="D75" s="184"/>
      <c r="E75" s="184"/>
      <c r="F75" s="227"/>
    </row>
    <row r="76" spans="1:25" s="105" customFormat="1" ht="61.95" customHeight="1">
      <c r="A76" s="111" t="s">
        <v>380</v>
      </c>
      <c r="B76" s="36" t="s">
        <v>382</v>
      </c>
      <c r="C76" s="198" t="s">
        <v>7</v>
      </c>
      <c r="D76" s="187">
        <f>1.2*2+2</f>
        <v>4.4000000000000004</v>
      </c>
      <c r="E76" s="199"/>
      <c r="F76" s="227">
        <f t="shared" si="4"/>
        <v>0</v>
      </c>
    </row>
    <row r="77" spans="1:25" s="90" customFormat="1" ht="63" customHeight="1">
      <c r="A77" s="111" t="s">
        <v>381</v>
      </c>
      <c r="B77" s="36" t="s">
        <v>392</v>
      </c>
      <c r="C77" s="198" t="s">
        <v>184</v>
      </c>
      <c r="D77" s="187">
        <v>1</v>
      </c>
      <c r="E77" s="199"/>
      <c r="F77" s="227">
        <f t="shared" si="4"/>
        <v>0</v>
      </c>
      <c r="G77" s="182"/>
      <c r="H77" s="182"/>
      <c r="I77" s="89"/>
      <c r="J77" s="182"/>
      <c r="K77" s="89"/>
      <c r="L77" s="182"/>
      <c r="M77" s="182"/>
      <c r="N77" s="182"/>
      <c r="O77" s="182"/>
      <c r="P77" s="182"/>
      <c r="Q77" s="182"/>
      <c r="R77" s="182"/>
      <c r="S77" s="182"/>
      <c r="T77" s="182"/>
      <c r="U77" s="182"/>
      <c r="V77" s="182"/>
      <c r="W77" s="182"/>
      <c r="X77" s="182"/>
      <c r="Y77" s="182"/>
    </row>
    <row r="78" spans="1:25" s="17" customFormat="1">
      <c r="A78" s="30" t="s">
        <v>511</v>
      </c>
      <c r="B78" s="16" t="s">
        <v>512</v>
      </c>
      <c r="C78" s="183"/>
      <c r="D78" s="184"/>
      <c r="E78" s="184"/>
      <c r="F78" s="227"/>
    </row>
    <row r="79" spans="1:25" s="105" customFormat="1" ht="49.95" customHeight="1" thickBot="1">
      <c r="A79" s="111" t="s">
        <v>513</v>
      </c>
      <c r="B79" s="36" t="s">
        <v>514</v>
      </c>
      <c r="C79" s="198" t="s">
        <v>5</v>
      </c>
      <c r="D79" s="187">
        <f>(2.5+3.25)*3</f>
        <v>17.25</v>
      </c>
      <c r="E79" s="199"/>
      <c r="F79" s="227">
        <f t="shared" si="4"/>
        <v>0</v>
      </c>
    </row>
    <row r="80" spans="1:25" s="17" customFormat="1" ht="15" thickBot="1">
      <c r="A80" s="173" t="s">
        <v>94</v>
      </c>
      <c r="B80" s="99" t="s">
        <v>25</v>
      </c>
      <c r="C80" s="191"/>
      <c r="D80" s="192"/>
      <c r="E80" s="192"/>
      <c r="F80" s="193">
        <f>SUM(F53:F79)</f>
        <v>0</v>
      </c>
    </row>
    <row r="81" spans="1:26" s="17" customFormat="1">
      <c r="A81" s="30" t="s">
        <v>212</v>
      </c>
      <c r="B81" s="102" t="s">
        <v>26</v>
      </c>
      <c r="C81" s="183"/>
      <c r="D81" s="184"/>
      <c r="E81" s="184"/>
      <c r="F81" s="185"/>
    </row>
    <row r="82" spans="1:26" s="17" customFormat="1">
      <c r="A82" s="30" t="s">
        <v>215</v>
      </c>
      <c r="B82" s="102" t="s">
        <v>27</v>
      </c>
      <c r="C82" s="183"/>
      <c r="D82" s="184"/>
      <c r="E82" s="184"/>
      <c r="F82" s="185"/>
    </row>
    <row r="83" spans="1:26" ht="61.05" customHeight="1">
      <c r="A83" s="107"/>
      <c r="B83" s="32" t="s">
        <v>28</v>
      </c>
      <c r="C83" s="206"/>
      <c r="D83" s="187"/>
      <c r="E83" s="190"/>
      <c r="F83" s="190"/>
    </row>
    <row r="84" spans="1:26" ht="79.95" customHeight="1">
      <c r="A84" s="107" t="s">
        <v>213</v>
      </c>
      <c r="B84" s="32" t="s">
        <v>146</v>
      </c>
      <c r="C84" s="206" t="s">
        <v>60</v>
      </c>
      <c r="D84" s="189">
        <f>'TO-1'!C104</f>
        <v>148.11000000000001</v>
      </c>
      <c r="E84" s="190"/>
      <c r="F84" s="190">
        <f>+D84*E84</f>
        <v>0</v>
      </c>
    </row>
    <row r="85" spans="1:26" ht="96" customHeight="1">
      <c r="A85" s="107" t="s">
        <v>214</v>
      </c>
      <c r="B85" s="32" t="s">
        <v>181</v>
      </c>
      <c r="C85" s="206" t="s">
        <v>60</v>
      </c>
      <c r="D85" s="189">
        <f>D84</f>
        <v>148.11000000000001</v>
      </c>
      <c r="E85" s="190"/>
      <c r="F85" s="189">
        <f t="shared" ref="F85:F103" si="5">+D85*E85</f>
        <v>0</v>
      </c>
    </row>
    <row r="86" spans="1:26" ht="109.05" customHeight="1">
      <c r="A86" s="107" t="s">
        <v>406</v>
      </c>
      <c r="B86" s="32" t="s">
        <v>314</v>
      </c>
      <c r="C86" s="206" t="s">
        <v>60</v>
      </c>
      <c r="D86" s="189">
        <f>1.5*0.5*3*3+0.6*0.5*2+2.4*0.5</f>
        <v>8.5499999999999989</v>
      </c>
      <c r="E86" s="190"/>
      <c r="F86" s="189">
        <f t="shared" si="5"/>
        <v>0</v>
      </c>
    </row>
    <row r="87" spans="1:26" s="17" customFormat="1">
      <c r="A87" s="30" t="s">
        <v>407</v>
      </c>
      <c r="B87" s="102" t="s">
        <v>29</v>
      </c>
      <c r="C87" s="183"/>
      <c r="D87" s="184"/>
      <c r="E87" s="184"/>
      <c r="F87" s="189"/>
    </row>
    <row r="88" spans="1:26" customFormat="1" ht="49.05" customHeight="1">
      <c r="A88" s="112" t="s">
        <v>408</v>
      </c>
      <c r="B88" s="103" t="s">
        <v>333</v>
      </c>
      <c r="C88" s="207" t="s">
        <v>217</v>
      </c>
      <c r="D88" s="208">
        <f>'TO-1'!C262</f>
        <v>204.38750000000002</v>
      </c>
      <c r="E88" s="209"/>
      <c r="F88" s="189">
        <f t="shared" si="5"/>
        <v>0</v>
      </c>
      <c r="G88" s="100"/>
      <c r="H88" s="100"/>
      <c r="I88" s="100"/>
      <c r="J88" s="100"/>
      <c r="K88" s="100"/>
      <c r="L88" s="100"/>
      <c r="M88" s="100"/>
      <c r="N88" s="100"/>
      <c r="O88" s="100"/>
      <c r="P88" s="100"/>
      <c r="Q88" s="100"/>
      <c r="R88" s="100"/>
      <c r="S88" s="100"/>
      <c r="T88" s="100"/>
      <c r="U88" s="100"/>
      <c r="V88" s="100"/>
      <c r="W88" s="100"/>
      <c r="X88" s="100"/>
      <c r="Y88" s="100"/>
      <c r="Z88" s="100"/>
    </row>
    <row r="89" spans="1:26" customFormat="1" ht="49.05" customHeight="1">
      <c r="A89" s="112" t="s">
        <v>409</v>
      </c>
      <c r="B89" s="103" t="s">
        <v>340</v>
      </c>
      <c r="C89" s="207" t="s">
        <v>217</v>
      </c>
      <c r="D89" s="208">
        <f>'TO-1'!C274</f>
        <v>20.574999999999999</v>
      </c>
      <c r="E89" s="209"/>
      <c r="F89" s="189">
        <f t="shared" si="5"/>
        <v>0</v>
      </c>
      <c r="G89" s="100"/>
      <c r="H89" s="100"/>
      <c r="I89" s="100"/>
      <c r="J89" s="100"/>
      <c r="K89" s="100"/>
      <c r="L89" s="100"/>
      <c r="M89" s="100"/>
      <c r="N89" s="100"/>
      <c r="O89" s="100"/>
      <c r="P89" s="100"/>
      <c r="Q89" s="100"/>
      <c r="R89" s="100"/>
      <c r="S89" s="100"/>
      <c r="T89" s="100"/>
      <c r="U89" s="100"/>
      <c r="V89" s="100"/>
      <c r="W89" s="100"/>
      <c r="X89" s="100"/>
      <c r="Y89" s="100"/>
      <c r="Z89" s="100"/>
    </row>
    <row r="90" spans="1:26" customFormat="1" ht="19.95" customHeight="1">
      <c r="A90" s="112" t="s">
        <v>410</v>
      </c>
      <c r="B90" s="103" t="s">
        <v>339</v>
      </c>
      <c r="C90" s="207" t="s">
        <v>24</v>
      </c>
      <c r="D90" s="208">
        <f>'TO-1'!C357</f>
        <v>193.35000000000002</v>
      </c>
      <c r="E90" s="209"/>
      <c r="F90" s="189">
        <f t="shared" si="5"/>
        <v>0</v>
      </c>
      <c r="G90" s="100"/>
      <c r="H90" s="100"/>
      <c r="I90" s="100"/>
      <c r="J90" s="100"/>
      <c r="K90" s="100"/>
      <c r="L90" s="100"/>
      <c r="M90" s="100"/>
      <c r="N90" s="100"/>
      <c r="O90" s="100"/>
      <c r="P90" s="100"/>
      <c r="Q90" s="100"/>
      <c r="R90" s="100"/>
      <c r="S90" s="100"/>
      <c r="T90" s="100"/>
      <c r="U90" s="100"/>
      <c r="V90" s="100"/>
      <c r="W90" s="100"/>
      <c r="X90" s="100"/>
      <c r="Y90" s="100"/>
      <c r="Z90" s="100"/>
    </row>
    <row r="91" spans="1:26" customFormat="1" ht="49.05" customHeight="1">
      <c r="A91" s="112" t="s">
        <v>411</v>
      </c>
      <c r="B91" s="103" t="s">
        <v>400</v>
      </c>
      <c r="C91" s="207" t="s">
        <v>217</v>
      </c>
      <c r="D91" s="208">
        <f>'TO-1'!C298</f>
        <v>50.490000000000009</v>
      </c>
      <c r="E91" s="199"/>
      <c r="F91" s="189">
        <f t="shared" si="5"/>
        <v>0</v>
      </c>
      <c r="G91" s="100"/>
      <c r="H91" s="100"/>
      <c r="I91" s="100"/>
      <c r="J91" s="100"/>
      <c r="K91" s="100"/>
      <c r="L91" s="100"/>
      <c r="M91" s="100"/>
      <c r="N91" s="100"/>
      <c r="O91" s="100"/>
      <c r="P91" s="100"/>
      <c r="Q91" s="100"/>
      <c r="R91" s="100"/>
      <c r="S91" s="100"/>
      <c r="T91" s="100"/>
      <c r="U91" s="100"/>
      <c r="V91" s="100"/>
      <c r="W91" s="100"/>
      <c r="X91" s="100"/>
      <c r="Y91" s="100"/>
      <c r="Z91" s="100"/>
    </row>
    <row r="92" spans="1:26" customFormat="1" ht="46.05" customHeight="1">
      <c r="A92" s="112" t="s">
        <v>412</v>
      </c>
      <c r="B92" s="103" t="s">
        <v>401</v>
      </c>
      <c r="C92" s="207" t="s">
        <v>217</v>
      </c>
      <c r="D92" s="208">
        <f>'TO-1'!C340</f>
        <v>112.79999999999998</v>
      </c>
      <c r="E92" s="199"/>
      <c r="F92" s="189">
        <f t="shared" si="5"/>
        <v>0</v>
      </c>
      <c r="G92" s="100"/>
      <c r="H92" s="100"/>
      <c r="I92" s="100"/>
      <c r="J92" s="100"/>
      <c r="K92" s="100"/>
      <c r="L92" s="100"/>
      <c r="M92" s="100"/>
      <c r="N92" s="100"/>
      <c r="O92" s="100"/>
      <c r="P92" s="100"/>
      <c r="Q92" s="100"/>
      <c r="R92" s="100"/>
      <c r="S92" s="100"/>
      <c r="T92" s="100"/>
      <c r="U92" s="100"/>
      <c r="V92" s="100"/>
      <c r="W92" s="100"/>
      <c r="X92" s="100"/>
      <c r="Y92" s="100"/>
      <c r="Z92" s="100"/>
    </row>
    <row r="93" spans="1:26" ht="16.2">
      <c r="A93" s="112" t="s">
        <v>413</v>
      </c>
      <c r="B93" s="18" t="s">
        <v>370</v>
      </c>
      <c r="C93" s="197" t="s">
        <v>60</v>
      </c>
      <c r="D93" s="189">
        <f>3.5*4</f>
        <v>14</v>
      </c>
      <c r="E93" s="190"/>
      <c r="F93" s="189">
        <f t="shared" si="5"/>
        <v>0</v>
      </c>
    </row>
    <row r="94" spans="1:26" customFormat="1" ht="48" customHeight="1" thickBot="1">
      <c r="A94" s="112" t="s">
        <v>414</v>
      </c>
      <c r="B94" s="103" t="s">
        <v>312</v>
      </c>
      <c r="C94" s="207" t="s">
        <v>24</v>
      </c>
      <c r="D94" s="208">
        <f>'TO-1'!C370</f>
        <v>20.999999999999996</v>
      </c>
      <c r="E94" s="209"/>
      <c r="F94" s="277">
        <f t="shared" si="5"/>
        <v>0</v>
      </c>
      <c r="G94" s="100"/>
      <c r="H94" s="100"/>
      <c r="I94" s="100"/>
      <c r="J94" s="100"/>
      <c r="K94" s="100"/>
      <c r="L94" s="100"/>
      <c r="M94" s="100"/>
      <c r="N94" s="100"/>
      <c r="O94" s="100"/>
      <c r="P94" s="100"/>
      <c r="Q94" s="100"/>
      <c r="R94" s="100"/>
      <c r="S94" s="100"/>
      <c r="T94" s="100"/>
      <c r="U94" s="100"/>
      <c r="V94" s="100"/>
      <c r="W94" s="100"/>
      <c r="X94" s="100"/>
      <c r="Y94" s="100"/>
      <c r="Z94" s="100"/>
    </row>
    <row r="95" spans="1:26" s="17" customFormat="1" ht="15" thickBot="1">
      <c r="A95" s="173" t="s">
        <v>212</v>
      </c>
      <c r="B95" s="99" t="s">
        <v>30</v>
      </c>
      <c r="C95" s="191"/>
      <c r="D95" s="192"/>
      <c r="E95" s="192"/>
      <c r="F95" s="279">
        <f>SUM(F84:F94)</f>
        <v>0</v>
      </c>
    </row>
    <row r="96" spans="1:26" s="17" customFormat="1">
      <c r="A96" s="30" t="s">
        <v>95</v>
      </c>
      <c r="B96" s="16" t="s">
        <v>31</v>
      </c>
      <c r="C96" s="183"/>
      <c r="D96" s="184"/>
      <c r="E96" s="184"/>
      <c r="F96" s="278"/>
    </row>
    <row r="97" spans="1:26" s="105" customFormat="1" ht="43.2">
      <c r="A97" s="221" t="s">
        <v>96</v>
      </c>
      <c r="B97" s="103" t="s">
        <v>222</v>
      </c>
      <c r="C97" s="207" t="s">
        <v>217</v>
      </c>
      <c r="D97" s="208">
        <f>'TO-1'!C228</f>
        <v>465.91</v>
      </c>
      <c r="E97" s="210"/>
      <c r="F97" s="189">
        <f t="shared" si="5"/>
        <v>0</v>
      </c>
    </row>
    <row r="98" spans="1:26" s="105" customFormat="1" ht="16.2">
      <c r="A98" s="221" t="s">
        <v>97</v>
      </c>
      <c r="B98" s="103" t="s">
        <v>232</v>
      </c>
      <c r="C98" s="207" t="s">
        <v>217</v>
      </c>
      <c r="D98" s="208">
        <f>(4.63*5.2+6.93*5.2)*2+8*3*2</f>
        <v>168.22399999999999</v>
      </c>
      <c r="E98" s="209"/>
      <c r="F98" s="189">
        <f t="shared" si="5"/>
        <v>0</v>
      </c>
    </row>
    <row r="99" spans="1:26" s="105" customFormat="1" ht="16.2">
      <c r="A99" s="221" t="s">
        <v>415</v>
      </c>
      <c r="B99" s="103" t="s">
        <v>329</v>
      </c>
      <c r="C99" s="207" t="s">
        <v>217</v>
      </c>
      <c r="D99" s="208">
        <f>3*3*2+10*3</f>
        <v>48</v>
      </c>
      <c r="E99" s="209"/>
      <c r="F99" s="189">
        <f t="shared" si="5"/>
        <v>0</v>
      </c>
    </row>
    <row r="100" spans="1:26" s="105" customFormat="1" ht="16.2">
      <c r="A100" s="221" t="s">
        <v>416</v>
      </c>
      <c r="B100" s="103" t="s">
        <v>379</v>
      </c>
      <c r="C100" s="207" t="s">
        <v>217</v>
      </c>
      <c r="D100" s="208">
        <f>'TO-1'!C103</f>
        <v>8.8000000000000007</v>
      </c>
      <c r="E100" s="209"/>
      <c r="F100" s="189">
        <f t="shared" si="5"/>
        <v>0</v>
      </c>
    </row>
    <row r="101" spans="1:26" s="105" customFormat="1" ht="28.8">
      <c r="A101" s="221" t="s">
        <v>417</v>
      </c>
      <c r="B101" s="176" t="s">
        <v>397</v>
      </c>
      <c r="C101" s="207" t="s">
        <v>217</v>
      </c>
      <c r="D101" s="208">
        <f>4*3.2*2</f>
        <v>25.6</v>
      </c>
      <c r="E101" s="210"/>
      <c r="F101" s="189">
        <f t="shared" si="5"/>
        <v>0</v>
      </c>
    </row>
    <row r="102" spans="1:26" s="105" customFormat="1" ht="16.2">
      <c r="A102" s="107" t="s">
        <v>418</v>
      </c>
      <c r="B102" s="176" t="s">
        <v>420</v>
      </c>
      <c r="C102" s="207" t="s">
        <v>217</v>
      </c>
      <c r="D102" s="208">
        <f>4*3.2*2</f>
        <v>25.6</v>
      </c>
      <c r="E102" s="210"/>
      <c r="F102" s="189">
        <f t="shared" si="5"/>
        <v>0</v>
      </c>
    </row>
    <row r="103" spans="1:26" s="105" customFormat="1" ht="16.8" thickBot="1">
      <c r="A103" s="107" t="s">
        <v>419</v>
      </c>
      <c r="B103" s="176" t="s">
        <v>398</v>
      </c>
      <c r="C103" s="207" t="s">
        <v>217</v>
      </c>
      <c r="D103" s="208">
        <f>6*2*2+1.5*1.5</f>
        <v>26.25</v>
      </c>
      <c r="E103" s="210"/>
      <c r="F103" s="189">
        <f t="shared" si="5"/>
        <v>0</v>
      </c>
    </row>
    <row r="104" spans="1:26" s="17" customFormat="1" ht="15" thickBot="1">
      <c r="A104" s="173" t="s">
        <v>95</v>
      </c>
      <c r="B104" s="99" t="s">
        <v>32</v>
      </c>
      <c r="C104" s="191"/>
      <c r="D104" s="192"/>
      <c r="E104" s="192"/>
      <c r="F104" s="228">
        <f>SUM(F97:F103)</f>
        <v>0</v>
      </c>
    </row>
    <row r="105" spans="1:26" ht="15.6">
      <c r="A105" s="221" t="s">
        <v>98</v>
      </c>
      <c r="B105" s="96" t="s">
        <v>81</v>
      </c>
      <c r="C105" s="75"/>
      <c r="D105" s="76"/>
      <c r="E105" s="223"/>
      <c r="F105" s="79"/>
    </row>
    <row r="106" spans="1:26" s="90" customFormat="1" ht="61.05" customHeight="1">
      <c r="A106" s="107"/>
      <c r="B106" s="103" t="s">
        <v>188</v>
      </c>
      <c r="C106" s="206"/>
      <c r="D106" s="187"/>
      <c r="E106" s="190"/>
      <c r="F106" s="190"/>
      <c r="G106" s="224"/>
      <c r="H106" s="91"/>
      <c r="I106" s="91"/>
      <c r="J106" s="91"/>
      <c r="K106" s="91"/>
      <c r="L106" s="91"/>
      <c r="M106" s="91"/>
      <c r="N106" s="91"/>
      <c r="O106" s="91"/>
      <c r="P106" s="91"/>
      <c r="Q106" s="91"/>
      <c r="R106" s="91"/>
      <c r="S106" s="91"/>
      <c r="T106" s="91"/>
      <c r="U106" s="91"/>
      <c r="V106" s="91"/>
      <c r="W106" s="91"/>
      <c r="X106" s="91"/>
      <c r="Y106" s="91"/>
      <c r="Z106" s="91"/>
    </row>
    <row r="107" spans="1:26" customFormat="1" ht="15.75" customHeight="1">
      <c r="A107" s="221">
        <v>9.1</v>
      </c>
      <c r="B107" s="226" t="s">
        <v>352</v>
      </c>
      <c r="C107" s="206"/>
      <c r="D107" s="187"/>
      <c r="E107" s="190"/>
      <c r="F107" s="190"/>
      <c r="G107" s="100"/>
      <c r="H107" s="100"/>
      <c r="I107" s="100"/>
      <c r="J107" s="100"/>
      <c r="K107" s="100"/>
      <c r="L107" s="100"/>
      <c r="M107" s="100"/>
      <c r="N107" s="100"/>
      <c r="O107" s="100"/>
      <c r="P107" s="100"/>
      <c r="Q107" s="100"/>
      <c r="R107" s="100"/>
      <c r="S107" s="100"/>
      <c r="T107" s="100"/>
      <c r="U107" s="100"/>
      <c r="V107" s="100"/>
      <c r="W107" s="100"/>
      <c r="X107" s="100"/>
      <c r="Y107" s="100"/>
      <c r="Z107" s="100"/>
    </row>
    <row r="108" spans="1:26" customFormat="1" ht="33" customHeight="1">
      <c r="A108" s="107" t="s">
        <v>421</v>
      </c>
      <c r="B108" s="103" t="s">
        <v>505</v>
      </c>
      <c r="C108" s="206"/>
      <c r="D108" s="187"/>
      <c r="E108" s="190"/>
      <c r="F108" s="190"/>
      <c r="G108" s="100"/>
      <c r="H108" s="100"/>
      <c r="I108" s="100"/>
      <c r="J108" s="100"/>
      <c r="K108" s="100"/>
      <c r="L108" s="100"/>
      <c r="M108" s="100"/>
      <c r="N108" s="100"/>
      <c r="O108" s="100"/>
      <c r="P108" s="100"/>
      <c r="Q108" s="100"/>
      <c r="R108" s="100"/>
      <c r="S108" s="100"/>
      <c r="T108" s="100"/>
      <c r="U108" s="100"/>
      <c r="V108" s="100"/>
      <c r="W108" s="100"/>
      <c r="X108" s="100"/>
      <c r="Y108" s="100"/>
      <c r="Z108" s="100"/>
    </row>
    <row r="109" spans="1:26" customFormat="1" ht="15.75" customHeight="1">
      <c r="A109" s="107"/>
      <c r="B109" s="103" t="s">
        <v>506</v>
      </c>
      <c r="C109" s="206"/>
      <c r="D109" s="187"/>
      <c r="E109" s="190"/>
      <c r="F109" s="190"/>
      <c r="G109" s="225"/>
      <c r="H109" s="100"/>
      <c r="I109" s="100"/>
      <c r="J109" s="100"/>
      <c r="K109" s="100"/>
      <c r="L109" s="100"/>
      <c r="M109" s="100"/>
      <c r="N109" s="100"/>
      <c r="O109" s="100"/>
      <c r="P109" s="100"/>
      <c r="Q109" s="100"/>
      <c r="R109" s="100"/>
      <c r="S109" s="100"/>
      <c r="T109" s="100"/>
      <c r="U109" s="100"/>
      <c r="V109" s="100"/>
      <c r="W109" s="100"/>
      <c r="X109" s="100"/>
      <c r="Y109" s="100"/>
      <c r="Z109" s="100"/>
    </row>
    <row r="110" spans="1:26" customFormat="1" ht="15.75" customHeight="1">
      <c r="A110" s="107"/>
      <c r="B110" s="103" t="s">
        <v>507</v>
      </c>
      <c r="C110" s="206"/>
      <c r="D110" s="187"/>
      <c r="E110" s="190"/>
      <c r="F110" s="190"/>
      <c r="G110" s="100"/>
      <c r="H110" s="100"/>
      <c r="I110" s="100"/>
      <c r="J110" s="100"/>
      <c r="K110" s="100"/>
      <c r="L110" s="100"/>
      <c r="M110" s="100"/>
      <c r="N110" s="100"/>
      <c r="O110" s="100"/>
      <c r="P110" s="100"/>
      <c r="Q110" s="100"/>
      <c r="R110" s="100"/>
      <c r="S110" s="100"/>
      <c r="T110" s="100"/>
      <c r="U110" s="100"/>
      <c r="V110" s="100"/>
      <c r="W110" s="100"/>
      <c r="X110" s="100"/>
      <c r="Y110" s="100"/>
      <c r="Z110" s="100"/>
    </row>
    <row r="111" spans="1:26" customFormat="1" ht="15.75" customHeight="1">
      <c r="A111" s="107"/>
      <c r="B111" s="103" t="s">
        <v>508</v>
      </c>
      <c r="C111" s="206"/>
      <c r="D111" s="187"/>
      <c r="E111" s="190"/>
      <c r="F111" s="190"/>
      <c r="G111" s="225"/>
      <c r="H111" s="100"/>
      <c r="I111" s="100"/>
      <c r="J111" s="100"/>
      <c r="K111" s="100"/>
      <c r="L111" s="100"/>
      <c r="M111" s="100"/>
      <c r="N111" s="100"/>
      <c r="O111" s="100"/>
      <c r="P111" s="100"/>
      <c r="Q111" s="100"/>
      <c r="R111" s="100"/>
      <c r="S111" s="100"/>
      <c r="T111" s="100"/>
      <c r="U111" s="100"/>
      <c r="V111" s="100"/>
      <c r="W111" s="100"/>
      <c r="X111" s="100"/>
      <c r="Y111" s="100"/>
      <c r="Z111" s="100"/>
    </row>
    <row r="112" spans="1:26" customFormat="1" ht="15.75" customHeight="1">
      <c r="A112" s="107"/>
      <c r="B112" s="103" t="s">
        <v>509</v>
      </c>
      <c r="C112" s="206"/>
      <c r="D112" s="187"/>
      <c r="E112" s="190"/>
      <c r="F112" s="190"/>
      <c r="G112" s="100"/>
      <c r="H112" s="100"/>
      <c r="I112" s="100"/>
      <c r="J112" s="100"/>
      <c r="K112" s="100"/>
      <c r="L112" s="100"/>
      <c r="M112" s="100"/>
      <c r="N112" s="100"/>
      <c r="O112" s="100"/>
      <c r="P112" s="100"/>
      <c r="Q112" s="100"/>
      <c r="R112" s="100"/>
      <c r="S112" s="100"/>
      <c r="T112" s="100"/>
      <c r="U112" s="100"/>
      <c r="V112" s="100"/>
      <c r="W112" s="100"/>
      <c r="X112" s="100"/>
      <c r="Y112" s="100"/>
      <c r="Z112" s="100"/>
    </row>
    <row r="113" spans="1:26" customFormat="1" ht="15.75" customHeight="1">
      <c r="A113" s="107"/>
      <c r="B113" s="103" t="s">
        <v>510</v>
      </c>
      <c r="C113" s="206"/>
      <c r="D113" s="187"/>
      <c r="E113" s="190"/>
      <c r="F113" s="190"/>
      <c r="G113" s="100"/>
      <c r="H113" s="100"/>
      <c r="I113" s="100"/>
      <c r="J113" s="100"/>
      <c r="K113" s="100"/>
      <c r="L113" s="100"/>
      <c r="M113" s="100"/>
      <c r="N113" s="100"/>
      <c r="O113" s="100"/>
      <c r="P113" s="100"/>
      <c r="Q113" s="100"/>
      <c r="R113" s="100"/>
      <c r="S113" s="100"/>
      <c r="T113" s="100"/>
      <c r="U113" s="100"/>
      <c r="V113" s="100"/>
      <c r="W113" s="100"/>
      <c r="X113" s="100"/>
      <c r="Y113" s="100"/>
      <c r="Z113" s="100"/>
    </row>
    <row r="114" spans="1:26" customFormat="1" ht="15.75" customHeight="1">
      <c r="A114" s="107"/>
      <c r="B114" s="103" t="s">
        <v>353</v>
      </c>
      <c r="C114" s="206" t="s">
        <v>23</v>
      </c>
      <c r="D114" s="187">
        <v>1</v>
      </c>
      <c r="E114" s="190"/>
      <c r="F114" s="190">
        <f t="shared" ref="F114:F177" si="6">+D114*E114</f>
        <v>0</v>
      </c>
      <c r="G114" s="100"/>
      <c r="H114" s="100"/>
      <c r="I114" s="100"/>
      <c r="J114" s="100"/>
      <c r="K114" s="100"/>
      <c r="L114" s="100"/>
      <c r="M114" s="100"/>
      <c r="N114" s="100"/>
      <c r="O114" s="100"/>
      <c r="P114" s="100"/>
      <c r="Q114" s="100"/>
      <c r="R114" s="100"/>
      <c r="S114" s="100"/>
      <c r="T114" s="100"/>
      <c r="U114" s="100"/>
      <c r="V114" s="100"/>
      <c r="W114" s="100"/>
      <c r="X114" s="100"/>
      <c r="Y114" s="100"/>
      <c r="Z114" s="100"/>
    </row>
    <row r="115" spans="1:26" s="90" customFormat="1" ht="15.75" customHeight="1">
      <c r="A115" s="221">
        <v>9.1999999999999993</v>
      </c>
      <c r="B115" s="226" t="s">
        <v>189</v>
      </c>
      <c r="C115" s="206"/>
      <c r="D115" s="187"/>
      <c r="E115" s="190"/>
      <c r="F115" s="189"/>
      <c r="G115" s="92"/>
      <c r="H115" s="91"/>
      <c r="I115" s="91"/>
      <c r="J115" s="91"/>
      <c r="K115" s="91"/>
      <c r="L115" s="91"/>
      <c r="M115" s="91"/>
      <c r="N115" s="91"/>
      <c r="O115" s="91"/>
      <c r="P115" s="91"/>
      <c r="Q115" s="91"/>
      <c r="R115" s="91"/>
      <c r="S115" s="91"/>
      <c r="T115" s="91"/>
      <c r="U115" s="91"/>
      <c r="V115" s="91"/>
      <c r="W115" s="91"/>
      <c r="X115" s="91"/>
      <c r="Y115" s="91"/>
      <c r="Z115" s="91"/>
    </row>
    <row r="116" spans="1:26" s="90" customFormat="1" ht="34.049999999999997" customHeight="1">
      <c r="A116" s="107" t="s">
        <v>422</v>
      </c>
      <c r="B116" s="103" t="s">
        <v>395</v>
      </c>
      <c r="C116" s="206" t="s">
        <v>23</v>
      </c>
      <c r="D116" s="187">
        <v>16</v>
      </c>
      <c r="E116" s="190"/>
      <c r="F116" s="189">
        <f t="shared" si="6"/>
        <v>0</v>
      </c>
      <c r="G116" s="92"/>
      <c r="H116" s="91"/>
      <c r="I116" s="91"/>
      <c r="J116" s="91"/>
      <c r="K116" s="91"/>
      <c r="L116" s="91"/>
      <c r="M116" s="91"/>
      <c r="N116" s="91"/>
      <c r="O116" s="91"/>
      <c r="P116" s="91"/>
      <c r="Q116" s="91"/>
      <c r="R116" s="91"/>
      <c r="S116" s="91"/>
      <c r="T116" s="91"/>
      <c r="U116" s="91"/>
      <c r="V116" s="91"/>
      <c r="W116" s="91"/>
      <c r="X116" s="91"/>
      <c r="Y116" s="91"/>
      <c r="Z116" s="91"/>
    </row>
    <row r="117" spans="1:26" s="90" customFormat="1" ht="15.75" customHeight="1">
      <c r="A117" s="221">
        <v>9.3000000000000007</v>
      </c>
      <c r="B117" s="226" t="s">
        <v>99</v>
      </c>
      <c r="C117" s="206"/>
      <c r="D117" s="187"/>
      <c r="E117" s="190"/>
      <c r="F117" s="189"/>
      <c r="G117" s="92"/>
      <c r="H117" s="91"/>
      <c r="I117" s="91"/>
      <c r="J117" s="91"/>
      <c r="K117" s="91"/>
      <c r="L117" s="91"/>
      <c r="M117" s="91"/>
      <c r="N117" s="91"/>
      <c r="O117" s="91"/>
      <c r="P117" s="91"/>
      <c r="Q117" s="91"/>
      <c r="R117" s="91"/>
      <c r="S117" s="91"/>
      <c r="T117" s="91"/>
      <c r="U117" s="91"/>
      <c r="V117" s="91"/>
      <c r="W117" s="91"/>
      <c r="X117" s="91"/>
      <c r="Y117" s="91"/>
      <c r="Z117" s="91"/>
    </row>
    <row r="118" spans="1:26" s="90" customFormat="1" ht="49.5" customHeight="1">
      <c r="A118" s="107"/>
      <c r="B118" s="103" t="s">
        <v>191</v>
      </c>
      <c r="C118" s="206"/>
      <c r="D118" s="187"/>
      <c r="E118" s="190"/>
      <c r="F118" s="189">
        <f t="shared" si="6"/>
        <v>0</v>
      </c>
      <c r="G118" s="92"/>
      <c r="H118" s="91"/>
      <c r="I118" s="91"/>
      <c r="J118" s="91"/>
      <c r="K118" s="91"/>
      <c r="L118" s="91"/>
      <c r="M118" s="91"/>
      <c r="N118" s="91"/>
      <c r="O118" s="91"/>
      <c r="P118" s="91"/>
      <c r="Q118" s="91"/>
      <c r="R118" s="91"/>
      <c r="S118" s="91"/>
      <c r="T118" s="91"/>
      <c r="U118" s="91"/>
      <c r="V118" s="91"/>
      <c r="W118" s="91"/>
      <c r="X118" s="91"/>
      <c r="Y118" s="91"/>
      <c r="Z118" s="91"/>
    </row>
    <row r="119" spans="1:26" s="90" customFormat="1" ht="15.75" customHeight="1">
      <c r="A119" s="107" t="s">
        <v>423</v>
      </c>
      <c r="B119" s="103" t="s">
        <v>190</v>
      </c>
      <c r="C119" s="206" t="s">
        <v>23</v>
      </c>
      <c r="D119" s="187">
        <v>6</v>
      </c>
      <c r="E119" s="190"/>
      <c r="F119" s="189">
        <f t="shared" si="6"/>
        <v>0</v>
      </c>
      <c r="G119" s="92"/>
      <c r="H119" s="91"/>
      <c r="I119" s="91"/>
      <c r="J119" s="91"/>
      <c r="K119" s="91"/>
      <c r="L119" s="91"/>
      <c r="M119" s="91"/>
      <c r="N119" s="91"/>
      <c r="O119" s="91"/>
      <c r="P119" s="91"/>
      <c r="Q119" s="91"/>
      <c r="R119" s="91"/>
      <c r="S119" s="91"/>
      <c r="T119" s="91"/>
      <c r="U119" s="91"/>
      <c r="V119" s="91"/>
      <c r="W119" s="91"/>
      <c r="X119" s="91"/>
      <c r="Y119" s="91"/>
      <c r="Z119" s="91"/>
    </row>
    <row r="120" spans="1:26" s="90" customFormat="1" ht="15.75" customHeight="1">
      <c r="A120" s="107" t="s">
        <v>424</v>
      </c>
      <c r="B120" s="103" t="s">
        <v>198</v>
      </c>
      <c r="C120" s="206" t="s">
        <v>23</v>
      </c>
      <c r="D120" s="187">
        <v>6</v>
      </c>
      <c r="E120" s="190"/>
      <c r="F120" s="189">
        <f t="shared" si="6"/>
        <v>0</v>
      </c>
      <c r="G120" s="92"/>
      <c r="H120" s="91"/>
      <c r="I120" s="91"/>
      <c r="J120" s="91"/>
      <c r="K120" s="91"/>
      <c r="L120" s="91"/>
      <c r="M120" s="91"/>
      <c r="N120" s="91"/>
      <c r="O120" s="91"/>
      <c r="P120" s="91"/>
      <c r="Q120" s="91"/>
      <c r="R120" s="91"/>
      <c r="S120" s="91"/>
      <c r="T120" s="91"/>
      <c r="U120" s="91"/>
      <c r="V120" s="91"/>
      <c r="W120" s="91"/>
      <c r="X120" s="91"/>
      <c r="Y120" s="91"/>
      <c r="Z120" s="91"/>
    </row>
    <row r="121" spans="1:26" s="90" customFormat="1" ht="15.75" customHeight="1">
      <c r="A121" s="107" t="s">
        <v>425</v>
      </c>
      <c r="B121" s="103" t="s">
        <v>199</v>
      </c>
      <c r="C121" s="206" t="s">
        <v>23</v>
      </c>
      <c r="D121" s="187">
        <v>3</v>
      </c>
      <c r="E121" s="190"/>
      <c r="F121" s="189">
        <f t="shared" si="6"/>
        <v>0</v>
      </c>
      <c r="G121" s="92"/>
      <c r="H121" s="91"/>
      <c r="I121" s="91"/>
      <c r="J121" s="91"/>
      <c r="K121" s="91"/>
      <c r="L121" s="91"/>
      <c r="M121" s="91"/>
      <c r="N121" s="91"/>
      <c r="O121" s="91"/>
      <c r="P121" s="91"/>
      <c r="Q121" s="91"/>
      <c r="R121" s="91"/>
      <c r="S121" s="91"/>
      <c r="T121" s="91"/>
      <c r="U121" s="91"/>
      <c r="V121" s="91"/>
      <c r="W121" s="91"/>
      <c r="X121" s="91"/>
      <c r="Y121" s="91"/>
      <c r="Z121" s="91"/>
    </row>
    <row r="122" spans="1:26" s="90" customFormat="1" ht="15.75" customHeight="1">
      <c r="A122" s="107" t="s">
        <v>426</v>
      </c>
      <c r="B122" s="103" t="s">
        <v>330</v>
      </c>
      <c r="C122" s="206" t="s">
        <v>23</v>
      </c>
      <c r="D122" s="187">
        <v>5</v>
      </c>
      <c r="E122" s="190"/>
      <c r="F122" s="189">
        <f t="shared" si="6"/>
        <v>0</v>
      </c>
      <c r="G122" s="92"/>
      <c r="H122" s="91"/>
      <c r="I122" s="91"/>
      <c r="J122" s="91"/>
      <c r="K122" s="91"/>
      <c r="L122" s="91"/>
      <c r="M122" s="91"/>
      <c r="N122" s="91"/>
      <c r="O122" s="91"/>
      <c r="P122" s="91"/>
      <c r="Q122" s="91"/>
      <c r="R122" s="91"/>
      <c r="S122" s="91"/>
      <c r="T122" s="91"/>
      <c r="U122" s="91"/>
      <c r="V122" s="91"/>
      <c r="W122" s="91"/>
      <c r="X122" s="91"/>
      <c r="Y122" s="91"/>
      <c r="Z122" s="91"/>
    </row>
    <row r="123" spans="1:26" s="90" customFormat="1" ht="15.75" customHeight="1">
      <c r="A123" s="107" t="s">
        <v>427</v>
      </c>
      <c r="B123" s="103" t="s">
        <v>197</v>
      </c>
      <c r="C123" s="206" t="s">
        <v>23</v>
      </c>
      <c r="D123" s="187">
        <v>1</v>
      </c>
      <c r="E123" s="190"/>
      <c r="F123" s="189">
        <f t="shared" si="6"/>
        <v>0</v>
      </c>
      <c r="G123" s="92"/>
      <c r="H123" s="91"/>
      <c r="I123" s="91"/>
      <c r="J123" s="91"/>
      <c r="K123" s="91"/>
      <c r="L123" s="91"/>
      <c r="M123" s="91"/>
      <c r="N123" s="91"/>
      <c r="O123" s="91"/>
      <c r="P123" s="91"/>
      <c r="Q123" s="91"/>
      <c r="R123" s="91"/>
      <c r="S123" s="91"/>
      <c r="T123" s="91"/>
      <c r="U123" s="91"/>
      <c r="V123" s="91"/>
      <c r="W123" s="91"/>
      <c r="X123" s="91"/>
      <c r="Y123" s="91"/>
      <c r="Z123" s="91"/>
    </row>
    <row r="124" spans="1:26" s="90" customFormat="1" ht="15.75" customHeight="1">
      <c r="A124" s="107" t="s">
        <v>428</v>
      </c>
      <c r="B124" s="103" t="s">
        <v>402</v>
      </c>
      <c r="C124" s="206" t="s">
        <v>23</v>
      </c>
      <c r="D124" s="187">
        <v>2</v>
      </c>
      <c r="E124" s="190"/>
      <c r="F124" s="189">
        <f t="shared" si="6"/>
        <v>0</v>
      </c>
      <c r="G124" s="92"/>
      <c r="H124" s="91"/>
      <c r="I124" s="91"/>
      <c r="J124" s="91"/>
      <c r="K124" s="91"/>
      <c r="L124" s="91"/>
      <c r="M124" s="91"/>
      <c r="N124" s="91"/>
      <c r="O124" s="91"/>
      <c r="P124" s="91"/>
      <c r="Q124" s="91"/>
      <c r="R124" s="91"/>
      <c r="S124" s="91"/>
      <c r="T124" s="91"/>
      <c r="U124" s="91"/>
      <c r="V124" s="91"/>
      <c r="W124" s="91"/>
      <c r="X124" s="91"/>
      <c r="Y124" s="91"/>
      <c r="Z124" s="91"/>
    </row>
    <row r="125" spans="1:26" s="90" customFormat="1" ht="15.75" customHeight="1">
      <c r="A125" s="107" t="s">
        <v>429</v>
      </c>
      <c r="B125" s="103" t="s">
        <v>256</v>
      </c>
      <c r="C125" s="206" t="s">
        <v>23</v>
      </c>
      <c r="D125" s="187">
        <v>2</v>
      </c>
      <c r="E125" s="190"/>
      <c r="F125" s="189">
        <f t="shared" si="6"/>
        <v>0</v>
      </c>
      <c r="G125" s="92"/>
      <c r="H125" s="91"/>
      <c r="I125" s="91"/>
      <c r="J125" s="91"/>
      <c r="K125" s="91"/>
      <c r="L125" s="91"/>
      <c r="M125" s="91"/>
      <c r="N125" s="91"/>
      <c r="O125" s="91"/>
      <c r="P125" s="91"/>
      <c r="Q125" s="91"/>
      <c r="R125" s="91"/>
      <c r="S125" s="91"/>
      <c r="T125" s="91"/>
      <c r="U125" s="91"/>
      <c r="V125" s="91"/>
      <c r="W125" s="91"/>
      <c r="X125" s="91"/>
      <c r="Y125" s="91"/>
      <c r="Z125" s="91"/>
    </row>
    <row r="126" spans="1:26" s="90" customFormat="1" ht="15.75" customHeight="1">
      <c r="A126" s="107" t="s">
        <v>430</v>
      </c>
      <c r="B126" s="103" t="s">
        <v>326</v>
      </c>
      <c r="C126" s="206" t="s">
        <v>23</v>
      </c>
      <c r="D126" s="187">
        <v>1</v>
      </c>
      <c r="E126" s="190"/>
      <c r="F126" s="189">
        <f t="shared" si="6"/>
        <v>0</v>
      </c>
      <c r="G126" s="92"/>
      <c r="H126" s="91"/>
      <c r="I126" s="91"/>
      <c r="J126" s="91"/>
      <c r="K126" s="91"/>
      <c r="L126" s="91"/>
      <c r="M126" s="91"/>
      <c r="N126" s="91"/>
      <c r="O126" s="91"/>
      <c r="P126" s="91"/>
      <c r="Q126" s="91"/>
      <c r="R126" s="91"/>
      <c r="S126" s="91"/>
      <c r="T126" s="91"/>
      <c r="U126" s="91"/>
      <c r="V126" s="91"/>
      <c r="W126" s="91"/>
      <c r="X126" s="91"/>
      <c r="Y126" s="91"/>
      <c r="Z126" s="91"/>
    </row>
    <row r="127" spans="1:26" s="90" customFormat="1" ht="15.75" customHeight="1">
      <c r="A127" s="107" t="s">
        <v>431</v>
      </c>
      <c r="B127" s="103" t="s">
        <v>327</v>
      </c>
      <c r="C127" s="206" t="s">
        <v>23</v>
      </c>
      <c r="D127" s="187">
        <v>1</v>
      </c>
      <c r="E127" s="190"/>
      <c r="F127" s="189">
        <f t="shared" si="6"/>
        <v>0</v>
      </c>
      <c r="G127" s="92"/>
      <c r="H127" s="91"/>
      <c r="I127" s="91"/>
      <c r="J127" s="91"/>
      <c r="K127" s="91"/>
      <c r="L127" s="91"/>
      <c r="M127" s="91"/>
      <c r="N127" s="91"/>
      <c r="O127" s="91"/>
      <c r="P127" s="91"/>
      <c r="Q127" s="91"/>
      <c r="R127" s="91"/>
      <c r="S127" s="91"/>
      <c r="T127" s="91"/>
      <c r="U127" s="91"/>
      <c r="V127" s="91"/>
      <c r="W127" s="91"/>
      <c r="X127" s="91"/>
      <c r="Y127" s="91"/>
      <c r="Z127" s="91"/>
    </row>
    <row r="128" spans="1:26" s="90" customFormat="1" ht="15.75" customHeight="1">
      <c r="A128" s="107" t="s">
        <v>432</v>
      </c>
      <c r="B128" s="103" t="s">
        <v>252</v>
      </c>
      <c r="C128" s="206" t="s">
        <v>23</v>
      </c>
      <c r="D128" s="187">
        <v>1</v>
      </c>
      <c r="E128" s="190"/>
      <c r="F128" s="189">
        <f t="shared" si="6"/>
        <v>0</v>
      </c>
      <c r="G128" s="92"/>
      <c r="H128" s="91"/>
      <c r="I128" s="91"/>
      <c r="J128" s="91"/>
      <c r="K128" s="91"/>
      <c r="L128" s="91"/>
      <c r="M128" s="91"/>
      <c r="N128" s="91"/>
      <c r="O128" s="91"/>
      <c r="P128" s="91"/>
      <c r="Q128" s="91"/>
      <c r="R128" s="91"/>
      <c r="S128" s="91"/>
      <c r="T128" s="91"/>
      <c r="U128" s="91"/>
      <c r="V128" s="91"/>
      <c r="W128" s="91"/>
      <c r="X128" s="91"/>
      <c r="Y128" s="91"/>
      <c r="Z128" s="91"/>
    </row>
    <row r="129" spans="1:26" s="90" customFormat="1" ht="15.75" customHeight="1">
      <c r="A129" s="107" t="s">
        <v>433</v>
      </c>
      <c r="B129" s="103" t="s">
        <v>200</v>
      </c>
      <c r="C129" s="206" t="s">
        <v>23</v>
      </c>
      <c r="D129" s="187">
        <v>1</v>
      </c>
      <c r="E129" s="190"/>
      <c r="F129" s="189">
        <f t="shared" si="6"/>
        <v>0</v>
      </c>
      <c r="G129" s="92"/>
      <c r="H129" s="91"/>
      <c r="I129" s="91"/>
      <c r="J129" s="91"/>
      <c r="K129" s="91"/>
      <c r="L129" s="91"/>
      <c r="M129" s="91"/>
      <c r="N129" s="91"/>
      <c r="O129" s="91"/>
      <c r="P129" s="91"/>
      <c r="Q129" s="91"/>
      <c r="R129" s="91"/>
      <c r="S129" s="91"/>
      <c r="T129" s="91"/>
      <c r="U129" s="91"/>
      <c r="V129" s="91"/>
      <c r="W129" s="91"/>
      <c r="X129" s="91"/>
      <c r="Y129" s="91"/>
      <c r="Z129" s="91"/>
    </row>
    <row r="130" spans="1:26" s="90" customFormat="1" ht="15.75" customHeight="1">
      <c r="A130" s="107" t="s">
        <v>434</v>
      </c>
      <c r="B130" s="103" t="s">
        <v>269</v>
      </c>
      <c r="C130" s="206" t="s">
        <v>23</v>
      </c>
      <c r="D130" s="187">
        <v>1</v>
      </c>
      <c r="E130" s="190"/>
      <c r="F130" s="189">
        <f t="shared" si="6"/>
        <v>0</v>
      </c>
      <c r="G130" s="92"/>
      <c r="H130" s="91"/>
      <c r="I130" s="91"/>
      <c r="J130" s="91"/>
      <c r="K130" s="91"/>
      <c r="L130" s="91"/>
      <c r="M130" s="91"/>
      <c r="N130" s="91"/>
      <c r="O130" s="91"/>
      <c r="P130" s="91"/>
      <c r="Q130" s="91"/>
      <c r="R130" s="91"/>
      <c r="S130" s="91"/>
      <c r="T130" s="91"/>
      <c r="U130" s="91"/>
      <c r="V130" s="91"/>
      <c r="W130" s="91"/>
      <c r="X130" s="91"/>
      <c r="Y130" s="91"/>
      <c r="Z130" s="91"/>
    </row>
    <row r="131" spans="1:26" s="90" customFormat="1" ht="15.75" customHeight="1">
      <c r="A131" s="107" t="s">
        <v>435</v>
      </c>
      <c r="B131" s="103" t="s">
        <v>250</v>
      </c>
      <c r="C131" s="206" t="s">
        <v>23</v>
      </c>
      <c r="D131" s="187">
        <v>1</v>
      </c>
      <c r="E131" s="190"/>
      <c r="F131" s="189">
        <f t="shared" si="6"/>
        <v>0</v>
      </c>
      <c r="G131" s="92"/>
      <c r="H131" s="91"/>
      <c r="I131" s="91"/>
      <c r="J131" s="91"/>
      <c r="K131" s="91"/>
      <c r="L131" s="91"/>
      <c r="M131" s="91"/>
      <c r="N131" s="91"/>
      <c r="O131" s="91"/>
      <c r="P131" s="91"/>
      <c r="Q131" s="91"/>
      <c r="R131" s="91"/>
      <c r="S131" s="91"/>
      <c r="T131" s="91"/>
      <c r="U131" s="91"/>
      <c r="V131" s="91"/>
      <c r="W131" s="91"/>
      <c r="X131" s="91"/>
      <c r="Y131" s="91"/>
      <c r="Z131" s="91"/>
    </row>
    <row r="132" spans="1:26" s="90" customFormat="1" ht="15.75" customHeight="1">
      <c r="A132" s="221">
        <v>9.4</v>
      </c>
      <c r="B132" s="226" t="s">
        <v>167</v>
      </c>
      <c r="C132" s="206"/>
      <c r="D132" s="187"/>
      <c r="E132" s="190"/>
      <c r="F132" s="189"/>
      <c r="G132" s="92"/>
      <c r="H132" s="91"/>
      <c r="I132" s="91"/>
      <c r="J132" s="91"/>
      <c r="K132" s="91"/>
      <c r="L132" s="91"/>
      <c r="M132" s="91"/>
      <c r="N132" s="91"/>
      <c r="O132" s="91"/>
      <c r="P132" s="91"/>
      <c r="Q132" s="91"/>
      <c r="R132" s="91"/>
      <c r="S132" s="91"/>
      <c r="T132" s="91"/>
      <c r="U132" s="91"/>
      <c r="V132" s="91"/>
      <c r="W132" s="91"/>
      <c r="X132" s="91"/>
      <c r="Y132" s="91"/>
      <c r="Z132" s="91"/>
    </row>
    <row r="133" spans="1:26" s="90" customFormat="1" ht="15.75" customHeight="1">
      <c r="A133" s="107" t="s">
        <v>436</v>
      </c>
      <c r="B133" s="103" t="s">
        <v>394</v>
      </c>
      <c r="C133" s="206" t="s">
        <v>23</v>
      </c>
      <c r="D133" s="187">
        <v>14</v>
      </c>
      <c r="E133" s="214"/>
      <c r="F133" s="189">
        <f t="shared" si="6"/>
        <v>0</v>
      </c>
      <c r="G133" s="92"/>
      <c r="H133" s="91"/>
      <c r="I133" s="91"/>
      <c r="J133" s="91"/>
      <c r="K133" s="91"/>
      <c r="L133" s="91"/>
      <c r="M133" s="91"/>
      <c r="N133" s="91"/>
      <c r="O133" s="91"/>
      <c r="P133" s="91"/>
      <c r="Q133" s="91"/>
      <c r="R133" s="91"/>
      <c r="S133" s="91"/>
      <c r="T133" s="91"/>
      <c r="U133" s="91"/>
      <c r="V133" s="91"/>
      <c r="W133" s="91"/>
      <c r="X133" s="91"/>
      <c r="Y133" s="91"/>
      <c r="Z133" s="91"/>
    </row>
    <row r="134" spans="1:26" s="90" customFormat="1" ht="15.75" customHeight="1">
      <c r="A134" s="107" t="s">
        <v>437</v>
      </c>
      <c r="B134" s="103" t="s">
        <v>404</v>
      </c>
      <c r="C134" s="206" t="s">
        <v>23</v>
      </c>
      <c r="D134" s="187">
        <v>2</v>
      </c>
      <c r="E134" s="214"/>
      <c r="F134" s="189">
        <f t="shared" si="6"/>
        <v>0</v>
      </c>
      <c r="G134" s="92"/>
      <c r="H134" s="91"/>
      <c r="I134" s="91"/>
      <c r="J134" s="91"/>
      <c r="K134" s="91"/>
      <c r="L134" s="91"/>
      <c r="M134" s="91"/>
      <c r="N134" s="91"/>
      <c r="O134" s="91"/>
      <c r="P134" s="91"/>
      <c r="Q134" s="91"/>
      <c r="R134" s="91"/>
      <c r="S134" s="91"/>
      <c r="T134" s="91"/>
      <c r="U134" s="91"/>
      <c r="V134" s="91"/>
      <c r="W134" s="91"/>
      <c r="X134" s="91"/>
      <c r="Y134" s="91"/>
      <c r="Z134" s="91"/>
    </row>
    <row r="135" spans="1:26" s="90" customFormat="1" ht="15.75" customHeight="1">
      <c r="A135" s="221">
        <v>9.5</v>
      </c>
      <c r="B135" s="226" t="s">
        <v>100</v>
      </c>
      <c r="C135" s="206"/>
      <c r="D135" s="187"/>
      <c r="E135" s="190"/>
      <c r="F135" s="189"/>
      <c r="G135" s="92"/>
      <c r="H135" s="91"/>
      <c r="I135" s="91"/>
      <c r="J135" s="91"/>
      <c r="K135" s="91"/>
      <c r="L135" s="91"/>
      <c r="M135" s="91"/>
      <c r="N135" s="91"/>
      <c r="O135" s="91"/>
      <c r="P135" s="91"/>
      <c r="Q135" s="91"/>
      <c r="R135" s="91"/>
      <c r="S135" s="91"/>
      <c r="T135" s="91"/>
      <c r="U135" s="91"/>
      <c r="V135" s="91"/>
      <c r="W135" s="91"/>
      <c r="X135" s="91"/>
      <c r="Y135" s="91"/>
      <c r="Z135" s="91"/>
    </row>
    <row r="136" spans="1:26" s="90" customFormat="1" ht="49.95" customHeight="1">
      <c r="A136" s="107" t="s">
        <v>396</v>
      </c>
      <c r="B136" s="103" t="s">
        <v>192</v>
      </c>
      <c r="C136" s="206"/>
      <c r="D136" s="187"/>
      <c r="E136" s="190"/>
      <c r="F136" s="189"/>
      <c r="G136" s="92"/>
      <c r="H136" s="91"/>
      <c r="I136" s="91"/>
      <c r="J136" s="91"/>
      <c r="K136" s="91"/>
      <c r="L136" s="91"/>
      <c r="M136" s="91"/>
      <c r="N136" s="91"/>
      <c r="O136" s="91"/>
      <c r="P136" s="91"/>
      <c r="Q136" s="91"/>
      <c r="R136" s="91"/>
      <c r="S136" s="91"/>
      <c r="T136" s="91"/>
      <c r="U136" s="91"/>
      <c r="V136" s="91"/>
      <c r="W136" s="91"/>
      <c r="X136" s="91"/>
      <c r="Y136" s="91"/>
      <c r="Z136" s="91"/>
    </row>
    <row r="137" spans="1:26" s="90" customFormat="1" ht="15.75" customHeight="1">
      <c r="A137" s="107" t="s">
        <v>438</v>
      </c>
      <c r="B137" s="103" t="s">
        <v>515</v>
      </c>
      <c r="C137" s="206" t="s">
        <v>23</v>
      </c>
      <c r="D137" s="187">
        <v>7</v>
      </c>
      <c r="E137" s="190"/>
      <c r="F137" s="189">
        <f t="shared" si="6"/>
        <v>0</v>
      </c>
      <c r="G137" s="92"/>
      <c r="H137" s="91"/>
      <c r="I137" s="91"/>
      <c r="J137" s="91"/>
      <c r="K137" s="91"/>
      <c r="L137" s="91"/>
      <c r="M137" s="91"/>
      <c r="N137" s="91"/>
      <c r="O137" s="91"/>
      <c r="P137" s="91"/>
      <c r="Q137" s="91"/>
      <c r="R137" s="91"/>
      <c r="S137" s="91"/>
      <c r="T137" s="91"/>
      <c r="U137" s="91"/>
      <c r="V137" s="91"/>
      <c r="W137" s="91"/>
      <c r="X137" s="91"/>
      <c r="Y137" s="91"/>
      <c r="Z137" s="91"/>
    </row>
    <row r="138" spans="1:26" s="90" customFormat="1" ht="15.75" customHeight="1">
      <c r="A138" s="107" t="s">
        <v>439</v>
      </c>
      <c r="B138" s="103" t="s">
        <v>516</v>
      </c>
      <c r="C138" s="206" t="s">
        <v>23</v>
      </c>
      <c r="D138" s="187">
        <v>26</v>
      </c>
      <c r="E138" s="190"/>
      <c r="F138" s="189">
        <f t="shared" si="6"/>
        <v>0</v>
      </c>
      <c r="G138" s="92"/>
      <c r="H138" s="91"/>
      <c r="I138" s="91"/>
      <c r="J138" s="91"/>
      <c r="K138" s="91"/>
      <c r="L138" s="91"/>
      <c r="M138" s="91"/>
      <c r="N138" s="91"/>
      <c r="O138" s="91"/>
      <c r="P138" s="91"/>
      <c r="Q138" s="91"/>
      <c r="R138" s="91"/>
      <c r="S138" s="91"/>
      <c r="T138" s="91"/>
      <c r="U138" s="91"/>
      <c r="V138" s="91"/>
      <c r="W138" s="91"/>
      <c r="X138" s="91"/>
      <c r="Y138" s="91"/>
      <c r="Z138" s="91"/>
    </row>
    <row r="139" spans="1:26" s="90" customFormat="1" ht="15.75" customHeight="1">
      <c r="A139" s="107" t="s">
        <v>440</v>
      </c>
      <c r="B139" s="103" t="s">
        <v>517</v>
      </c>
      <c r="C139" s="206" t="s">
        <v>23</v>
      </c>
      <c r="D139" s="187">
        <v>10</v>
      </c>
      <c r="E139" s="190"/>
      <c r="F139" s="189">
        <f t="shared" si="6"/>
        <v>0</v>
      </c>
      <c r="G139" s="92"/>
      <c r="H139" s="91"/>
      <c r="I139" s="91"/>
      <c r="J139" s="91"/>
      <c r="K139" s="91"/>
      <c r="L139" s="91"/>
      <c r="M139" s="91"/>
      <c r="N139" s="91"/>
      <c r="O139" s="91"/>
      <c r="P139" s="91"/>
      <c r="Q139" s="91"/>
      <c r="R139" s="91"/>
      <c r="S139" s="91"/>
      <c r="T139" s="91"/>
      <c r="U139" s="91"/>
      <c r="V139" s="91"/>
      <c r="W139" s="91"/>
      <c r="X139" s="91"/>
      <c r="Y139" s="91"/>
      <c r="Z139" s="91"/>
    </row>
    <row r="140" spans="1:26" s="90" customFormat="1" ht="15.75" customHeight="1">
      <c r="A140" s="107" t="s">
        <v>441</v>
      </c>
      <c r="B140" s="103" t="s">
        <v>197</v>
      </c>
      <c r="C140" s="206" t="s">
        <v>23</v>
      </c>
      <c r="D140" s="187">
        <v>2</v>
      </c>
      <c r="E140" s="190"/>
      <c r="F140" s="189">
        <f t="shared" si="6"/>
        <v>0</v>
      </c>
      <c r="G140" s="92"/>
      <c r="H140" s="91"/>
      <c r="I140" s="91"/>
      <c r="J140" s="91"/>
      <c r="K140" s="91"/>
      <c r="L140" s="91"/>
      <c r="M140" s="91"/>
      <c r="N140" s="91"/>
      <c r="O140" s="91"/>
      <c r="P140" s="91"/>
      <c r="Q140" s="91"/>
      <c r="R140" s="91"/>
      <c r="S140" s="91"/>
      <c r="T140" s="91"/>
      <c r="U140" s="91"/>
      <c r="V140" s="91"/>
      <c r="W140" s="91"/>
      <c r="X140" s="91"/>
      <c r="Y140" s="91"/>
      <c r="Z140" s="91"/>
    </row>
    <row r="141" spans="1:26" s="90" customFormat="1" ht="15.75" customHeight="1">
      <c r="A141" s="107" t="s">
        <v>442</v>
      </c>
      <c r="B141" s="103" t="s">
        <v>402</v>
      </c>
      <c r="C141" s="206" t="s">
        <v>23</v>
      </c>
      <c r="D141" s="187">
        <v>3</v>
      </c>
      <c r="E141" s="190"/>
      <c r="F141" s="189">
        <f t="shared" si="6"/>
        <v>0</v>
      </c>
      <c r="G141" s="92"/>
      <c r="H141" s="91"/>
      <c r="I141" s="91"/>
      <c r="J141" s="91"/>
      <c r="K141" s="91"/>
      <c r="L141" s="91"/>
      <c r="M141" s="91"/>
      <c r="N141" s="91"/>
      <c r="O141" s="91"/>
      <c r="P141" s="91"/>
      <c r="Q141" s="91"/>
      <c r="R141" s="91"/>
      <c r="S141" s="91"/>
      <c r="T141" s="91"/>
      <c r="U141" s="91"/>
      <c r="V141" s="91"/>
      <c r="W141" s="91"/>
      <c r="X141" s="91"/>
      <c r="Y141" s="91"/>
      <c r="Z141" s="91"/>
    </row>
    <row r="142" spans="1:26" s="90" customFormat="1" ht="15.75" customHeight="1">
      <c r="A142" s="107" t="s">
        <v>443</v>
      </c>
      <c r="B142" s="103" t="s">
        <v>256</v>
      </c>
      <c r="C142" s="206" t="s">
        <v>23</v>
      </c>
      <c r="D142" s="187">
        <v>4</v>
      </c>
      <c r="E142" s="190"/>
      <c r="F142" s="189">
        <f t="shared" si="6"/>
        <v>0</v>
      </c>
      <c r="G142" s="92"/>
      <c r="H142" s="91"/>
      <c r="I142" s="91"/>
      <c r="J142" s="91"/>
      <c r="K142" s="91"/>
      <c r="L142" s="91"/>
      <c r="M142" s="91"/>
      <c r="N142" s="91"/>
      <c r="O142" s="91"/>
      <c r="P142" s="91"/>
      <c r="Q142" s="91"/>
      <c r="R142" s="91"/>
      <c r="S142" s="91"/>
      <c r="T142" s="91"/>
      <c r="U142" s="91"/>
      <c r="V142" s="91"/>
      <c r="W142" s="91"/>
      <c r="X142" s="91"/>
      <c r="Y142" s="91"/>
      <c r="Z142" s="91"/>
    </row>
    <row r="143" spans="1:26" s="90" customFormat="1" ht="15.75" customHeight="1">
      <c r="A143" s="107" t="s">
        <v>444</v>
      </c>
      <c r="B143" s="103" t="s">
        <v>326</v>
      </c>
      <c r="C143" s="206" t="s">
        <v>23</v>
      </c>
      <c r="D143" s="187">
        <v>2</v>
      </c>
      <c r="E143" s="190"/>
      <c r="F143" s="189">
        <f t="shared" si="6"/>
        <v>0</v>
      </c>
      <c r="G143" s="92"/>
      <c r="H143" s="91"/>
      <c r="I143" s="91"/>
      <c r="J143" s="91"/>
      <c r="K143" s="91"/>
      <c r="L143" s="91"/>
      <c r="M143" s="91"/>
      <c r="N143" s="91"/>
      <c r="O143" s="91"/>
      <c r="P143" s="91"/>
      <c r="Q143" s="91"/>
      <c r="R143" s="91"/>
      <c r="S143" s="91"/>
      <c r="T143" s="91"/>
      <c r="U143" s="91"/>
      <c r="V143" s="91"/>
      <c r="W143" s="91"/>
      <c r="X143" s="91"/>
      <c r="Y143" s="91"/>
      <c r="Z143" s="91"/>
    </row>
    <row r="144" spans="1:26" s="90" customFormat="1" ht="15.75" customHeight="1">
      <c r="A144" s="107" t="s">
        <v>445</v>
      </c>
      <c r="B144" s="103" t="s">
        <v>327</v>
      </c>
      <c r="C144" s="206" t="s">
        <v>23</v>
      </c>
      <c r="D144" s="187">
        <v>2</v>
      </c>
      <c r="E144" s="190"/>
      <c r="F144" s="189">
        <f t="shared" si="6"/>
        <v>0</v>
      </c>
      <c r="G144" s="92"/>
      <c r="H144" s="91"/>
      <c r="I144" s="91"/>
      <c r="J144" s="91"/>
      <c r="K144" s="91"/>
      <c r="L144" s="91"/>
      <c r="M144" s="91"/>
      <c r="N144" s="91"/>
      <c r="O144" s="91"/>
      <c r="P144" s="91"/>
      <c r="Q144" s="91"/>
      <c r="R144" s="91"/>
      <c r="S144" s="91"/>
      <c r="T144" s="91"/>
      <c r="U144" s="91"/>
      <c r="V144" s="91"/>
      <c r="W144" s="91"/>
      <c r="X144" s="91"/>
      <c r="Y144" s="91"/>
      <c r="Z144" s="91"/>
    </row>
    <row r="145" spans="1:26" s="90" customFormat="1" ht="15.75" customHeight="1">
      <c r="A145" s="107" t="s">
        <v>446</v>
      </c>
      <c r="B145" s="103" t="s">
        <v>200</v>
      </c>
      <c r="C145" s="206" t="s">
        <v>23</v>
      </c>
      <c r="D145" s="187">
        <v>1</v>
      </c>
      <c r="E145" s="190"/>
      <c r="F145" s="189">
        <f t="shared" si="6"/>
        <v>0</v>
      </c>
      <c r="G145" s="92"/>
      <c r="H145" s="91"/>
      <c r="I145" s="91"/>
      <c r="J145" s="91"/>
      <c r="K145" s="91"/>
      <c r="L145" s="91"/>
      <c r="M145" s="91"/>
      <c r="N145" s="91"/>
      <c r="O145" s="91"/>
      <c r="P145" s="91"/>
      <c r="Q145" s="91"/>
      <c r="R145" s="91"/>
      <c r="S145" s="91"/>
      <c r="T145" s="91"/>
      <c r="U145" s="91"/>
      <c r="V145" s="91"/>
      <c r="W145" s="91"/>
      <c r="X145" s="91"/>
      <c r="Y145" s="91"/>
      <c r="Z145" s="91"/>
    </row>
    <row r="146" spans="1:26" s="90" customFormat="1" ht="15.75" customHeight="1">
      <c r="A146" s="107" t="s">
        <v>447</v>
      </c>
      <c r="B146" s="103" t="s">
        <v>269</v>
      </c>
      <c r="C146" s="206" t="s">
        <v>23</v>
      </c>
      <c r="D146" s="187">
        <v>1</v>
      </c>
      <c r="E146" s="190"/>
      <c r="F146" s="189">
        <f t="shared" si="6"/>
        <v>0</v>
      </c>
      <c r="G146" s="92"/>
      <c r="H146" s="91"/>
      <c r="I146" s="91"/>
      <c r="J146" s="91"/>
      <c r="K146" s="91"/>
      <c r="L146" s="91"/>
      <c r="M146" s="91"/>
      <c r="N146" s="91"/>
      <c r="O146" s="91"/>
      <c r="P146" s="91"/>
      <c r="Q146" s="91"/>
      <c r="R146" s="91"/>
      <c r="S146" s="91"/>
      <c r="T146" s="91"/>
      <c r="U146" s="91"/>
      <c r="V146" s="91"/>
      <c r="W146" s="91"/>
      <c r="X146" s="91"/>
      <c r="Y146" s="91"/>
      <c r="Z146" s="91"/>
    </row>
    <row r="147" spans="1:26" s="90" customFormat="1" ht="15.75" customHeight="1">
      <c r="A147" s="107" t="s">
        <v>448</v>
      </c>
      <c r="B147" s="103" t="s">
        <v>250</v>
      </c>
      <c r="C147" s="206" t="s">
        <v>23</v>
      </c>
      <c r="D147" s="187">
        <v>1</v>
      </c>
      <c r="E147" s="190"/>
      <c r="F147" s="189">
        <f t="shared" si="6"/>
        <v>0</v>
      </c>
      <c r="G147" s="92"/>
      <c r="H147" s="91"/>
      <c r="I147" s="91"/>
      <c r="J147" s="91"/>
      <c r="K147" s="91"/>
      <c r="L147" s="91"/>
      <c r="M147" s="91"/>
      <c r="N147" s="91"/>
      <c r="O147" s="91"/>
      <c r="P147" s="91"/>
      <c r="Q147" s="91"/>
      <c r="R147" s="91"/>
      <c r="S147" s="91"/>
      <c r="T147" s="91"/>
      <c r="U147" s="91"/>
      <c r="V147" s="91"/>
      <c r="W147" s="91"/>
      <c r="X147" s="91"/>
      <c r="Y147" s="91"/>
      <c r="Z147" s="91"/>
    </row>
    <row r="148" spans="1:26" s="90" customFormat="1" ht="15.75" customHeight="1">
      <c r="A148" s="107" t="s">
        <v>519</v>
      </c>
      <c r="B148" s="103" t="s">
        <v>246</v>
      </c>
      <c r="C148" s="206" t="s">
        <v>23</v>
      </c>
      <c r="D148" s="187">
        <v>2</v>
      </c>
      <c r="E148" s="190"/>
      <c r="F148" s="189">
        <f t="shared" si="6"/>
        <v>0</v>
      </c>
      <c r="G148" s="92"/>
      <c r="H148" s="91"/>
      <c r="I148" s="91"/>
      <c r="J148" s="91"/>
      <c r="K148" s="91"/>
      <c r="L148" s="91"/>
      <c r="M148" s="91"/>
      <c r="N148" s="91"/>
      <c r="O148" s="91"/>
      <c r="P148" s="91"/>
      <c r="Q148" s="91"/>
      <c r="R148" s="91"/>
      <c r="S148" s="91"/>
      <c r="T148" s="91"/>
      <c r="U148" s="91"/>
      <c r="V148" s="91"/>
      <c r="W148" s="91"/>
      <c r="X148" s="91"/>
      <c r="Y148" s="91"/>
      <c r="Z148" s="91"/>
    </row>
    <row r="149" spans="1:26" s="90" customFormat="1" ht="15.75" customHeight="1">
      <c r="A149" s="221">
        <v>9.6</v>
      </c>
      <c r="B149" s="226" t="s">
        <v>101</v>
      </c>
      <c r="C149" s="206"/>
      <c r="D149" s="187"/>
      <c r="E149" s="190"/>
      <c r="F149" s="189"/>
      <c r="G149" s="92"/>
      <c r="H149" s="91"/>
      <c r="I149" s="91"/>
      <c r="J149" s="91"/>
      <c r="K149" s="91"/>
      <c r="L149" s="91"/>
      <c r="M149" s="91"/>
      <c r="N149" s="91"/>
      <c r="O149" s="91"/>
      <c r="P149" s="91"/>
      <c r="Q149" s="91"/>
      <c r="R149" s="91"/>
      <c r="S149" s="91"/>
      <c r="T149" s="91"/>
      <c r="U149" s="91"/>
      <c r="V149" s="91"/>
      <c r="W149" s="91"/>
      <c r="X149" s="91"/>
      <c r="Y149" s="91"/>
      <c r="Z149" s="91"/>
    </row>
    <row r="150" spans="1:26" s="90" customFormat="1" ht="15.75" customHeight="1">
      <c r="A150" s="107" t="s">
        <v>449</v>
      </c>
      <c r="B150" s="103" t="s">
        <v>492</v>
      </c>
      <c r="C150" s="206"/>
      <c r="D150" s="187"/>
      <c r="E150" s="190"/>
      <c r="F150" s="189"/>
      <c r="G150" s="92"/>
      <c r="H150" s="91"/>
      <c r="I150" s="91"/>
      <c r="J150" s="91"/>
      <c r="K150" s="91"/>
      <c r="L150" s="91"/>
      <c r="M150" s="91"/>
      <c r="N150" s="91"/>
      <c r="O150" s="91"/>
      <c r="P150" s="91"/>
      <c r="Q150" s="91"/>
      <c r="R150" s="91"/>
      <c r="S150" s="91"/>
      <c r="T150" s="91"/>
      <c r="U150" s="91"/>
      <c r="V150" s="91"/>
      <c r="W150" s="91"/>
      <c r="X150" s="91"/>
      <c r="Y150" s="91"/>
      <c r="Z150" s="91"/>
    </row>
    <row r="151" spans="1:26" s="90" customFormat="1" ht="15.75" customHeight="1">
      <c r="A151" s="107" t="s">
        <v>450</v>
      </c>
      <c r="B151" s="103" t="s">
        <v>190</v>
      </c>
      <c r="C151" s="206" t="s">
        <v>23</v>
      </c>
      <c r="D151" s="187">
        <v>7</v>
      </c>
      <c r="E151" s="214"/>
      <c r="F151" s="189">
        <f t="shared" si="6"/>
        <v>0</v>
      </c>
      <c r="G151" s="92"/>
      <c r="H151" s="91"/>
      <c r="I151" s="91"/>
      <c r="J151" s="91"/>
      <c r="K151" s="91"/>
      <c r="L151" s="91"/>
      <c r="M151" s="91"/>
      <c r="N151" s="91"/>
      <c r="O151" s="91"/>
      <c r="P151" s="91"/>
      <c r="Q151" s="91"/>
      <c r="R151" s="91"/>
      <c r="S151" s="91"/>
      <c r="T151" s="91"/>
      <c r="U151" s="91"/>
      <c r="V151" s="91"/>
      <c r="W151" s="91"/>
      <c r="X151" s="91"/>
      <c r="Y151" s="91"/>
      <c r="Z151" s="91"/>
    </row>
    <row r="152" spans="1:26" s="90" customFormat="1" ht="15.75" customHeight="1">
      <c r="A152" s="107" t="s">
        <v>451</v>
      </c>
      <c r="B152" s="103" t="s">
        <v>198</v>
      </c>
      <c r="C152" s="206" t="s">
        <v>23</v>
      </c>
      <c r="D152" s="187">
        <v>26</v>
      </c>
      <c r="E152" s="214"/>
      <c r="F152" s="189">
        <f t="shared" si="6"/>
        <v>0</v>
      </c>
      <c r="G152" s="92"/>
      <c r="H152" s="91"/>
      <c r="I152" s="91"/>
      <c r="J152" s="91"/>
      <c r="K152" s="91"/>
      <c r="L152" s="91"/>
      <c r="M152" s="91"/>
      <c r="N152" s="91"/>
      <c r="O152" s="91"/>
      <c r="P152" s="91"/>
      <c r="Q152" s="91"/>
      <c r="R152" s="91"/>
      <c r="S152" s="91"/>
      <c r="T152" s="91"/>
      <c r="U152" s="91"/>
      <c r="V152" s="91"/>
      <c r="W152" s="91"/>
      <c r="X152" s="91"/>
      <c r="Y152" s="91"/>
      <c r="Z152" s="91"/>
    </row>
    <row r="153" spans="1:26" s="90" customFormat="1" ht="15.75" customHeight="1">
      <c r="A153" s="107" t="s">
        <v>452</v>
      </c>
      <c r="B153" s="103" t="s">
        <v>199</v>
      </c>
      <c r="C153" s="206" t="s">
        <v>23</v>
      </c>
      <c r="D153" s="187">
        <v>10</v>
      </c>
      <c r="E153" s="214"/>
      <c r="F153" s="189">
        <f t="shared" si="6"/>
        <v>0</v>
      </c>
      <c r="G153" s="92"/>
      <c r="H153" s="91"/>
      <c r="I153" s="91"/>
      <c r="J153" s="91"/>
      <c r="K153" s="91"/>
      <c r="L153" s="91"/>
      <c r="M153" s="91"/>
      <c r="N153" s="91"/>
      <c r="O153" s="91"/>
      <c r="P153" s="91"/>
      <c r="Q153" s="91"/>
      <c r="R153" s="91"/>
      <c r="S153" s="91"/>
      <c r="T153" s="91"/>
      <c r="U153" s="91"/>
      <c r="V153" s="91"/>
      <c r="W153" s="91"/>
      <c r="X153" s="91"/>
      <c r="Y153" s="91"/>
      <c r="Z153" s="91"/>
    </row>
    <row r="154" spans="1:26" s="90" customFormat="1" ht="15.75" customHeight="1">
      <c r="A154" s="107" t="s">
        <v>453</v>
      </c>
      <c r="B154" s="103" t="s">
        <v>405</v>
      </c>
      <c r="C154" s="206"/>
      <c r="D154" s="187"/>
      <c r="E154" s="190"/>
      <c r="F154" s="189">
        <f t="shared" si="6"/>
        <v>0</v>
      </c>
      <c r="G154" s="92"/>
      <c r="H154" s="91"/>
      <c r="I154" s="91"/>
      <c r="J154" s="91"/>
      <c r="K154" s="91"/>
      <c r="L154" s="91"/>
      <c r="M154" s="91"/>
      <c r="N154" s="91"/>
      <c r="O154" s="91"/>
      <c r="P154" s="91"/>
      <c r="Q154" s="91"/>
      <c r="R154" s="91"/>
      <c r="S154" s="91"/>
      <c r="T154" s="91"/>
      <c r="U154" s="91"/>
      <c r="V154" s="91"/>
      <c r="W154" s="91"/>
      <c r="X154" s="91"/>
      <c r="Y154" s="91"/>
      <c r="Z154" s="91"/>
    </row>
    <row r="155" spans="1:26" s="90" customFormat="1" ht="15.75" customHeight="1">
      <c r="A155" s="107" t="s">
        <v>454</v>
      </c>
      <c r="B155" s="103" t="s">
        <v>197</v>
      </c>
      <c r="C155" s="206" t="s">
        <v>23</v>
      </c>
      <c r="D155" s="187">
        <v>2</v>
      </c>
      <c r="E155" s="214"/>
      <c r="F155" s="189">
        <f t="shared" si="6"/>
        <v>0</v>
      </c>
      <c r="G155" s="92"/>
      <c r="H155" s="91"/>
      <c r="I155" s="91"/>
      <c r="J155" s="91"/>
      <c r="K155" s="91"/>
      <c r="L155" s="91"/>
      <c r="M155" s="91"/>
      <c r="N155" s="91"/>
      <c r="O155" s="91"/>
      <c r="P155" s="91"/>
      <c r="Q155" s="91"/>
      <c r="R155" s="91"/>
      <c r="S155" s="91"/>
      <c r="T155" s="91"/>
      <c r="U155" s="91"/>
      <c r="V155" s="91"/>
      <c r="W155" s="91"/>
      <c r="X155" s="91"/>
      <c r="Y155" s="91"/>
      <c r="Z155" s="91"/>
    </row>
    <row r="156" spans="1:26" s="90" customFormat="1" ht="15.75" customHeight="1">
      <c r="A156" s="107" t="s">
        <v>455</v>
      </c>
      <c r="B156" s="103" t="s">
        <v>402</v>
      </c>
      <c r="C156" s="206" t="s">
        <v>23</v>
      </c>
      <c r="D156" s="187">
        <v>3</v>
      </c>
      <c r="E156" s="214"/>
      <c r="F156" s="189">
        <f t="shared" si="6"/>
        <v>0</v>
      </c>
      <c r="G156" s="92"/>
      <c r="H156" s="91"/>
      <c r="I156" s="91"/>
      <c r="J156" s="91"/>
      <c r="K156" s="91"/>
      <c r="L156" s="91"/>
      <c r="M156" s="91"/>
      <c r="N156" s="91"/>
      <c r="O156" s="91"/>
      <c r="P156" s="91"/>
      <c r="Q156" s="91"/>
      <c r="R156" s="91"/>
      <c r="S156" s="91"/>
      <c r="T156" s="91"/>
      <c r="U156" s="91"/>
      <c r="V156" s="91"/>
      <c r="W156" s="91"/>
      <c r="X156" s="91"/>
      <c r="Y156" s="91"/>
      <c r="Z156" s="91"/>
    </row>
    <row r="157" spans="1:26" s="90" customFormat="1" ht="15.75" customHeight="1">
      <c r="A157" s="107" t="s">
        <v>456</v>
      </c>
      <c r="B157" s="103" t="s">
        <v>256</v>
      </c>
      <c r="C157" s="206" t="s">
        <v>23</v>
      </c>
      <c r="D157" s="187">
        <v>4</v>
      </c>
      <c r="E157" s="214"/>
      <c r="F157" s="189">
        <f t="shared" si="6"/>
        <v>0</v>
      </c>
      <c r="G157" s="92"/>
      <c r="H157" s="91"/>
      <c r="I157" s="91"/>
      <c r="J157" s="91"/>
      <c r="K157" s="91"/>
      <c r="L157" s="91"/>
      <c r="M157" s="91"/>
      <c r="N157" s="91"/>
      <c r="O157" s="91"/>
      <c r="P157" s="91"/>
      <c r="Q157" s="91"/>
      <c r="R157" s="91"/>
      <c r="S157" s="91"/>
      <c r="T157" s="91"/>
      <c r="U157" s="91"/>
      <c r="V157" s="91"/>
      <c r="W157" s="91"/>
      <c r="X157" s="91"/>
      <c r="Y157" s="91"/>
      <c r="Z157" s="91"/>
    </row>
    <row r="158" spans="1:26" s="90" customFormat="1" ht="15.75" customHeight="1">
      <c r="A158" s="107" t="s">
        <v>457</v>
      </c>
      <c r="B158" s="103" t="s">
        <v>326</v>
      </c>
      <c r="C158" s="206" t="s">
        <v>23</v>
      </c>
      <c r="D158" s="187">
        <v>2</v>
      </c>
      <c r="E158" s="214"/>
      <c r="F158" s="189">
        <f t="shared" si="6"/>
        <v>0</v>
      </c>
      <c r="G158" s="92"/>
      <c r="H158" s="91"/>
      <c r="I158" s="91"/>
      <c r="J158" s="91"/>
      <c r="K158" s="91"/>
      <c r="L158" s="91"/>
      <c r="M158" s="91"/>
      <c r="N158" s="91"/>
      <c r="O158" s="91"/>
      <c r="P158" s="91"/>
      <c r="Q158" s="91"/>
      <c r="R158" s="91"/>
      <c r="S158" s="91"/>
      <c r="T158" s="91"/>
      <c r="U158" s="91"/>
      <c r="V158" s="91"/>
      <c r="W158" s="91"/>
      <c r="X158" s="91"/>
      <c r="Y158" s="91"/>
      <c r="Z158" s="91"/>
    </row>
    <row r="159" spans="1:26" s="90" customFormat="1" ht="15.75" customHeight="1">
      <c r="A159" s="107" t="s">
        <v>458</v>
      </c>
      <c r="B159" s="103" t="s">
        <v>327</v>
      </c>
      <c r="C159" s="206" t="s">
        <v>23</v>
      </c>
      <c r="D159" s="187">
        <v>2</v>
      </c>
      <c r="E159" s="214"/>
      <c r="F159" s="189">
        <f t="shared" si="6"/>
        <v>0</v>
      </c>
      <c r="G159" s="92"/>
      <c r="H159" s="91"/>
      <c r="I159" s="91"/>
      <c r="J159" s="91"/>
      <c r="K159" s="91"/>
      <c r="L159" s="91"/>
      <c r="M159" s="91"/>
      <c r="N159" s="91"/>
      <c r="O159" s="91"/>
      <c r="P159" s="91"/>
      <c r="Q159" s="91"/>
      <c r="R159" s="91"/>
      <c r="S159" s="91"/>
      <c r="T159" s="91"/>
      <c r="U159" s="91"/>
      <c r="V159" s="91"/>
      <c r="W159" s="91"/>
      <c r="X159" s="91"/>
      <c r="Y159" s="91"/>
      <c r="Z159" s="91"/>
    </row>
    <row r="160" spans="1:26" s="90" customFormat="1" ht="15.75" customHeight="1">
      <c r="A160" s="107" t="s">
        <v>459</v>
      </c>
      <c r="B160" s="103" t="s">
        <v>200</v>
      </c>
      <c r="C160" s="206" t="s">
        <v>23</v>
      </c>
      <c r="D160" s="187">
        <v>1</v>
      </c>
      <c r="E160" s="214"/>
      <c r="F160" s="189">
        <f t="shared" si="6"/>
        <v>0</v>
      </c>
      <c r="G160" s="92"/>
      <c r="H160" s="91"/>
      <c r="I160" s="91"/>
      <c r="J160" s="91"/>
      <c r="K160" s="91"/>
      <c r="L160" s="91"/>
      <c r="M160" s="91"/>
      <c r="N160" s="91"/>
      <c r="O160" s="91"/>
      <c r="P160" s="91"/>
      <c r="Q160" s="91"/>
      <c r="R160" s="91"/>
      <c r="S160" s="91"/>
      <c r="T160" s="91"/>
      <c r="U160" s="91"/>
      <c r="V160" s="91"/>
      <c r="W160" s="91"/>
      <c r="X160" s="91"/>
      <c r="Y160" s="91"/>
      <c r="Z160" s="91"/>
    </row>
    <row r="161" spans="1:26" s="90" customFormat="1" ht="15.75" customHeight="1">
      <c r="A161" s="107" t="s">
        <v>460</v>
      </c>
      <c r="B161" s="103" t="s">
        <v>269</v>
      </c>
      <c r="C161" s="206" t="s">
        <v>23</v>
      </c>
      <c r="D161" s="187">
        <v>1</v>
      </c>
      <c r="E161" s="214"/>
      <c r="F161" s="189">
        <f t="shared" si="6"/>
        <v>0</v>
      </c>
      <c r="G161" s="92"/>
      <c r="H161" s="91"/>
      <c r="I161" s="91"/>
      <c r="J161" s="91"/>
      <c r="K161" s="91"/>
      <c r="L161" s="91"/>
      <c r="M161" s="91"/>
      <c r="N161" s="91"/>
      <c r="O161" s="91"/>
      <c r="P161" s="91"/>
      <c r="Q161" s="91"/>
      <c r="R161" s="91"/>
      <c r="S161" s="91"/>
      <c r="T161" s="91"/>
      <c r="U161" s="91"/>
      <c r="V161" s="91"/>
      <c r="W161" s="91"/>
      <c r="X161" s="91"/>
      <c r="Y161" s="91"/>
      <c r="Z161" s="91"/>
    </row>
    <row r="162" spans="1:26" s="90" customFormat="1" ht="15.75" customHeight="1">
      <c r="A162" s="107" t="s">
        <v>461</v>
      </c>
      <c r="B162" s="103" t="s">
        <v>250</v>
      </c>
      <c r="C162" s="206" t="s">
        <v>23</v>
      </c>
      <c r="D162" s="187">
        <v>1</v>
      </c>
      <c r="E162" s="214"/>
      <c r="F162" s="189">
        <f t="shared" si="6"/>
        <v>0</v>
      </c>
      <c r="G162" s="92"/>
      <c r="H162" s="91"/>
      <c r="I162" s="91"/>
      <c r="J162" s="91"/>
      <c r="K162" s="91"/>
      <c r="L162" s="91"/>
      <c r="M162" s="91"/>
      <c r="N162" s="91"/>
      <c r="O162" s="91"/>
      <c r="P162" s="91"/>
      <c r="Q162" s="91"/>
      <c r="R162" s="91"/>
      <c r="S162" s="91"/>
      <c r="T162" s="91"/>
      <c r="U162" s="91"/>
      <c r="V162" s="91"/>
      <c r="W162" s="91"/>
      <c r="X162" s="91"/>
      <c r="Y162" s="91"/>
      <c r="Z162" s="91"/>
    </row>
    <row r="163" spans="1:26" s="90" customFormat="1" ht="15.75" customHeight="1">
      <c r="A163" s="107" t="s">
        <v>518</v>
      </c>
      <c r="B163" s="103" t="s">
        <v>246</v>
      </c>
      <c r="C163" s="206" t="s">
        <v>23</v>
      </c>
      <c r="D163" s="187">
        <v>2</v>
      </c>
      <c r="E163" s="214"/>
      <c r="F163" s="189">
        <f t="shared" si="6"/>
        <v>0</v>
      </c>
      <c r="G163" s="92"/>
      <c r="H163" s="91"/>
      <c r="I163" s="91"/>
      <c r="J163" s="91"/>
      <c r="K163" s="91"/>
      <c r="L163" s="91"/>
      <c r="M163" s="91"/>
      <c r="N163" s="91"/>
      <c r="O163" s="91"/>
      <c r="P163" s="91"/>
      <c r="Q163" s="91"/>
      <c r="R163" s="91"/>
      <c r="S163" s="91"/>
      <c r="T163" s="91"/>
      <c r="U163" s="91"/>
      <c r="V163" s="91"/>
      <c r="W163" s="91"/>
      <c r="X163" s="91"/>
      <c r="Y163" s="91"/>
      <c r="Z163" s="91"/>
    </row>
    <row r="164" spans="1:26" s="90" customFormat="1" ht="15.75" customHeight="1">
      <c r="A164" s="221">
        <v>9.6999999999999993</v>
      </c>
      <c r="B164" s="226" t="s">
        <v>193</v>
      </c>
      <c r="C164" s="206"/>
      <c r="D164" s="187"/>
      <c r="E164" s="190"/>
      <c r="F164" s="189"/>
      <c r="G164" s="92"/>
      <c r="H164" s="91"/>
      <c r="I164" s="91"/>
      <c r="J164" s="91"/>
      <c r="K164" s="91"/>
      <c r="L164" s="91"/>
      <c r="M164" s="91"/>
      <c r="N164" s="91"/>
      <c r="O164" s="91"/>
      <c r="P164" s="91"/>
      <c r="Q164" s="91"/>
      <c r="R164" s="91"/>
      <c r="S164" s="91"/>
      <c r="T164" s="91"/>
      <c r="U164" s="91"/>
      <c r="V164" s="91"/>
      <c r="W164" s="91"/>
      <c r="X164" s="91"/>
      <c r="Y164" s="91"/>
      <c r="Z164" s="91"/>
    </row>
    <row r="165" spans="1:26" s="90" customFormat="1" ht="15.75" customHeight="1">
      <c r="A165" s="107"/>
      <c r="B165" s="103" t="s">
        <v>194</v>
      </c>
      <c r="C165" s="206"/>
      <c r="D165" s="187"/>
      <c r="E165" s="190"/>
      <c r="F165" s="189"/>
      <c r="G165" s="215"/>
      <c r="H165" s="91"/>
      <c r="I165" s="91"/>
      <c r="J165" s="91"/>
      <c r="K165" s="91"/>
      <c r="L165" s="91"/>
      <c r="M165" s="91"/>
      <c r="N165" s="91"/>
      <c r="O165" s="91"/>
      <c r="P165" s="91"/>
      <c r="Q165" s="91"/>
      <c r="R165" s="91"/>
      <c r="S165" s="91"/>
      <c r="T165" s="91"/>
      <c r="U165" s="91"/>
      <c r="V165" s="91"/>
      <c r="W165" s="91"/>
      <c r="X165" s="91"/>
      <c r="Y165" s="91"/>
      <c r="Z165" s="91"/>
    </row>
    <row r="166" spans="1:26" s="90" customFormat="1" ht="15" customHeight="1">
      <c r="A166" s="107" t="s">
        <v>462</v>
      </c>
      <c r="B166" s="103" t="s">
        <v>393</v>
      </c>
      <c r="C166" s="206"/>
      <c r="D166" s="187"/>
      <c r="E166" s="190"/>
      <c r="F166" s="189">
        <f t="shared" si="6"/>
        <v>0</v>
      </c>
      <c r="G166" s="215"/>
      <c r="H166" s="91"/>
      <c r="I166" s="91"/>
      <c r="J166" s="91"/>
      <c r="K166" s="91"/>
      <c r="L166" s="91"/>
      <c r="M166" s="91"/>
      <c r="N166" s="91"/>
      <c r="O166" s="91"/>
      <c r="P166" s="91"/>
      <c r="Q166" s="91"/>
      <c r="R166" s="91"/>
      <c r="S166" s="91"/>
      <c r="T166" s="91"/>
      <c r="U166" s="91"/>
      <c r="V166" s="91"/>
      <c r="W166" s="91"/>
      <c r="X166" s="91"/>
      <c r="Y166" s="91"/>
      <c r="Z166" s="91"/>
    </row>
    <row r="167" spans="1:26" s="90" customFormat="1" ht="15.75" customHeight="1">
      <c r="A167" s="107" t="s">
        <v>463</v>
      </c>
      <c r="B167" s="103" t="s">
        <v>190</v>
      </c>
      <c r="C167" s="206" t="s">
        <v>23</v>
      </c>
      <c r="D167" s="187">
        <v>6</v>
      </c>
      <c r="E167" s="214"/>
      <c r="F167" s="189">
        <f t="shared" si="6"/>
        <v>0</v>
      </c>
      <c r="G167" s="92"/>
      <c r="H167" s="91"/>
      <c r="I167" s="91"/>
      <c r="J167" s="91"/>
      <c r="K167" s="91"/>
      <c r="L167" s="91"/>
      <c r="M167" s="91"/>
      <c r="N167" s="91"/>
      <c r="O167" s="91"/>
      <c r="P167" s="91"/>
      <c r="Q167" s="91"/>
      <c r="R167" s="91"/>
      <c r="S167" s="91"/>
      <c r="T167" s="91"/>
      <c r="U167" s="91"/>
      <c r="V167" s="91"/>
      <c r="W167" s="91"/>
      <c r="X167" s="91"/>
      <c r="Y167" s="91"/>
      <c r="Z167" s="91"/>
    </row>
    <row r="168" spans="1:26" s="90" customFormat="1" ht="15.75" customHeight="1">
      <c r="A168" s="107" t="s">
        <v>464</v>
      </c>
      <c r="B168" s="103" t="s">
        <v>198</v>
      </c>
      <c r="C168" s="206" t="s">
        <v>23</v>
      </c>
      <c r="D168" s="187">
        <v>6</v>
      </c>
      <c r="E168" s="214"/>
      <c r="F168" s="189">
        <f t="shared" si="6"/>
        <v>0</v>
      </c>
      <c r="G168" s="92"/>
      <c r="H168" s="91"/>
      <c r="I168" s="91"/>
      <c r="J168" s="91"/>
      <c r="K168" s="91"/>
      <c r="L168" s="91"/>
      <c r="M168" s="91"/>
      <c r="N168" s="91"/>
      <c r="O168" s="91"/>
      <c r="P168" s="91"/>
      <c r="Q168" s="91"/>
      <c r="R168" s="91"/>
      <c r="S168" s="91"/>
      <c r="T168" s="91"/>
      <c r="U168" s="91"/>
      <c r="V168" s="91"/>
      <c r="W168" s="91"/>
      <c r="X168" s="91"/>
      <c r="Y168" s="91"/>
      <c r="Z168" s="91"/>
    </row>
    <row r="169" spans="1:26" s="90" customFormat="1" ht="15.75" customHeight="1">
      <c r="A169" s="107" t="s">
        <v>465</v>
      </c>
      <c r="B169" s="103" t="s">
        <v>199</v>
      </c>
      <c r="C169" s="206" t="s">
        <v>23</v>
      </c>
      <c r="D169" s="187">
        <v>3</v>
      </c>
      <c r="E169" s="214"/>
      <c r="F169" s="189">
        <f t="shared" si="6"/>
        <v>0</v>
      </c>
      <c r="G169" s="92"/>
      <c r="H169" s="91"/>
      <c r="I169" s="91"/>
      <c r="J169" s="91"/>
      <c r="K169" s="91"/>
      <c r="L169" s="91"/>
      <c r="M169" s="91"/>
      <c r="N169" s="91"/>
      <c r="O169" s="91"/>
      <c r="P169" s="91"/>
      <c r="Q169" s="91"/>
      <c r="R169" s="91"/>
      <c r="S169" s="91"/>
      <c r="T169" s="91"/>
      <c r="U169" s="91"/>
      <c r="V169" s="91"/>
      <c r="W169" s="91"/>
      <c r="X169" s="91"/>
      <c r="Y169" s="91"/>
      <c r="Z169" s="91"/>
    </row>
    <row r="170" spans="1:26" s="90" customFormat="1" ht="15.75" customHeight="1">
      <c r="A170" s="107" t="s">
        <v>466</v>
      </c>
      <c r="B170" s="103" t="s">
        <v>330</v>
      </c>
      <c r="C170" s="206" t="s">
        <v>23</v>
      </c>
      <c r="D170" s="187">
        <v>5</v>
      </c>
      <c r="E170" s="214"/>
      <c r="F170" s="189">
        <f t="shared" si="6"/>
        <v>0</v>
      </c>
      <c r="G170" s="92"/>
      <c r="H170" s="91"/>
      <c r="I170" s="91"/>
      <c r="J170" s="91"/>
      <c r="K170" s="91"/>
      <c r="L170" s="91"/>
      <c r="M170" s="91"/>
      <c r="N170" s="91"/>
      <c r="O170" s="91"/>
      <c r="P170" s="91"/>
      <c r="Q170" s="91"/>
      <c r="R170" s="91"/>
      <c r="S170" s="91"/>
      <c r="T170" s="91"/>
      <c r="U170" s="91"/>
      <c r="V170" s="91"/>
      <c r="W170" s="91"/>
      <c r="X170" s="91"/>
      <c r="Y170" s="91"/>
      <c r="Z170" s="91"/>
    </row>
    <row r="171" spans="1:26" s="90" customFormat="1" ht="15.75" customHeight="1">
      <c r="A171" s="107" t="s">
        <v>467</v>
      </c>
      <c r="B171" s="103" t="s">
        <v>197</v>
      </c>
      <c r="C171" s="206" t="s">
        <v>23</v>
      </c>
      <c r="D171" s="187">
        <v>1</v>
      </c>
      <c r="E171" s="214"/>
      <c r="F171" s="189">
        <f t="shared" si="6"/>
        <v>0</v>
      </c>
      <c r="G171" s="92"/>
      <c r="H171" s="91"/>
      <c r="I171" s="91"/>
      <c r="J171" s="91"/>
      <c r="K171" s="91"/>
      <c r="L171" s="91"/>
      <c r="M171" s="91"/>
      <c r="N171" s="91"/>
      <c r="O171" s="91"/>
      <c r="P171" s="91"/>
      <c r="Q171" s="91"/>
      <c r="R171" s="91"/>
      <c r="S171" s="91"/>
      <c r="T171" s="91"/>
      <c r="U171" s="91"/>
      <c r="V171" s="91"/>
      <c r="W171" s="91"/>
      <c r="X171" s="91"/>
      <c r="Y171" s="91"/>
      <c r="Z171" s="91"/>
    </row>
    <row r="172" spans="1:26" s="90" customFormat="1" ht="15.75" customHeight="1">
      <c r="A172" s="107" t="s">
        <v>468</v>
      </c>
      <c r="B172" s="103" t="s">
        <v>402</v>
      </c>
      <c r="C172" s="206" t="s">
        <v>23</v>
      </c>
      <c r="D172" s="187">
        <v>2</v>
      </c>
      <c r="E172" s="214"/>
      <c r="F172" s="189">
        <f t="shared" si="6"/>
        <v>0</v>
      </c>
      <c r="G172" s="92"/>
      <c r="H172" s="91"/>
      <c r="I172" s="91"/>
      <c r="J172" s="91"/>
      <c r="K172" s="91"/>
      <c r="L172" s="91"/>
      <c r="M172" s="91"/>
      <c r="N172" s="91"/>
      <c r="O172" s="91"/>
      <c r="P172" s="91"/>
      <c r="Q172" s="91"/>
      <c r="R172" s="91"/>
      <c r="S172" s="91"/>
      <c r="T172" s="91"/>
      <c r="U172" s="91"/>
      <c r="V172" s="91"/>
      <c r="W172" s="91"/>
      <c r="X172" s="91"/>
      <c r="Y172" s="91"/>
      <c r="Z172" s="91"/>
    </row>
    <row r="173" spans="1:26" s="90" customFormat="1" ht="15.75" customHeight="1">
      <c r="A173" s="107" t="s">
        <v>469</v>
      </c>
      <c r="B173" s="103" t="s">
        <v>256</v>
      </c>
      <c r="C173" s="206" t="s">
        <v>23</v>
      </c>
      <c r="D173" s="187">
        <v>2</v>
      </c>
      <c r="E173" s="214"/>
      <c r="F173" s="189">
        <f t="shared" si="6"/>
        <v>0</v>
      </c>
      <c r="G173" s="92"/>
      <c r="H173" s="91"/>
      <c r="I173" s="91"/>
      <c r="J173" s="91"/>
      <c r="K173" s="91"/>
      <c r="L173" s="91"/>
      <c r="M173" s="91"/>
      <c r="N173" s="91"/>
      <c r="O173" s="91"/>
      <c r="P173" s="91"/>
      <c r="Q173" s="91"/>
      <c r="R173" s="91"/>
      <c r="S173" s="91"/>
      <c r="T173" s="91"/>
      <c r="U173" s="91"/>
      <c r="V173" s="91"/>
      <c r="W173" s="91"/>
      <c r="X173" s="91"/>
      <c r="Y173" s="91"/>
      <c r="Z173" s="91"/>
    </row>
    <row r="174" spans="1:26" s="90" customFormat="1" ht="15.75" customHeight="1">
      <c r="A174" s="107" t="s">
        <v>470</v>
      </c>
      <c r="B174" s="103" t="s">
        <v>326</v>
      </c>
      <c r="C174" s="206" t="s">
        <v>23</v>
      </c>
      <c r="D174" s="187">
        <v>1</v>
      </c>
      <c r="E174" s="214"/>
      <c r="F174" s="189">
        <f t="shared" si="6"/>
        <v>0</v>
      </c>
      <c r="G174" s="92"/>
      <c r="H174" s="91"/>
      <c r="I174" s="91"/>
      <c r="J174" s="91"/>
      <c r="K174" s="91"/>
      <c r="L174" s="91"/>
      <c r="M174" s="91"/>
      <c r="N174" s="91"/>
      <c r="O174" s="91"/>
      <c r="P174" s="91"/>
      <c r="Q174" s="91"/>
      <c r="R174" s="91"/>
      <c r="S174" s="91"/>
      <c r="T174" s="91"/>
      <c r="U174" s="91"/>
      <c r="V174" s="91"/>
      <c r="W174" s="91"/>
      <c r="X174" s="91"/>
      <c r="Y174" s="91"/>
      <c r="Z174" s="91"/>
    </row>
    <row r="175" spans="1:26" s="90" customFormat="1" ht="15.75" customHeight="1">
      <c r="A175" s="107" t="s">
        <v>471</v>
      </c>
      <c r="B175" s="103" t="s">
        <v>327</v>
      </c>
      <c r="C175" s="206" t="s">
        <v>23</v>
      </c>
      <c r="D175" s="187">
        <v>1</v>
      </c>
      <c r="E175" s="214"/>
      <c r="F175" s="189">
        <f t="shared" si="6"/>
        <v>0</v>
      </c>
      <c r="G175" s="92"/>
      <c r="H175" s="91"/>
      <c r="I175" s="91"/>
      <c r="J175" s="91"/>
      <c r="K175" s="91"/>
      <c r="L175" s="91"/>
      <c r="M175" s="91"/>
      <c r="N175" s="91"/>
      <c r="O175" s="91"/>
      <c r="P175" s="91"/>
      <c r="Q175" s="91"/>
      <c r="R175" s="91"/>
      <c r="S175" s="91"/>
      <c r="T175" s="91"/>
      <c r="U175" s="91"/>
      <c r="V175" s="91"/>
      <c r="W175" s="91"/>
      <c r="X175" s="91"/>
      <c r="Y175" s="91"/>
      <c r="Z175" s="91"/>
    </row>
    <row r="176" spans="1:26" s="90" customFormat="1" ht="15" customHeight="1">
      <c r="A176" s="107" t="s">
        <v>472</v>
      </c>
      <c r="B176" s="103" t="s">
        <v>403</v>
      </c>
      <c r="C176" s="206"/>
      <c r="D176" s="187"/>
      <c r="E176" s="190"/>
      <c r="F176" s="189">
        <f t="shared" si="6"/>
        <v>0</v>
      </c>
      <c r="G176" s="215"/>
      <c r="H176" s="91"/>
      <c r="I176" s="91"/>
      <c r="J176" s="91"/>
      <c r="K176" s="91"/>
      <c r="L176" s="91"/>
      <c r="M176" s="91"/>
      <c r="N176" s="91"/>
      <c r="O176" s="91"/>
      <c r="P176" s="91"/>
      <c r="Q176" s="91"/>
      <c r="R176" s="91"/>
      <c r="S176" s="91"/>
      <c r="T176" s="91"/>
      <c r="U176" s="91"/>
      <c r="V176" s="91"/>
      <c r="W176" s="91"/>
      <c r="X176" s="91"/>
      <c r="Y176" s="91"/>
      <c r="Z176" s="91"/>
    </row>
    <row r="177" spans="1:26" s="90" customFormat="1" ht="15.75" customHeight="1">
      <c r="A177" s="107" t="s">
        <v>473</v>
      </c>
      <c r="B177" s="103" t="s">
        <v>252</v>
      </c>
      <c r="C177" s="206" t="s">
        <v>23</v>
      </c>
      <c r="D177" s="187">
        <v>1</v>
      </c>
      <c r="E177" s="214"/>
      <c r="F177" s="189">
        <f t="shared" si="6"/>
        <v>0</v>
      </c>
      <c r="G177" s="92"/>
      <c r="H177" s="91"/>
      <c r="I177" s="91"/>
      <c r="J177" s="91"/>
      <c r="K177" s="91"/>
      <c r="L177" s="91"/>
      <c r="M177" s="91"/>
      <c r="N177" s="91"/>
      <c r="O177" s="91"/>
      <c r="P177" s="91"/>
      <c r="Q177" s="91"/>
      <c r="R177" s="91"/>
      <c r="S177" s="91"/>
      <c r="T177" s="91"/>
      <c r="U177" s="91"/>
      <c r="V177" s="91"/>
      <c r="W177" s="91"/>
      <c r="X177" s="91"/>
      <c r="Y177" s="91"/>
      <c r="Z177" s="91"/>
    </row>
    <row r="178" spans="1:26" s="90" customFormat="1" ht="15.75" customHeight="1">
      <c r="A178" s="107" t="s">
        <v>474</v>
      </c>
      <c r="B178" s="103" t="s">
        <v>200</v>
      </c>
      <c r="C178" s="206" t="s">
        <v>23</v>
      </c>
      <c r="D178" s="187">
        <v>1</v>
      </c>
      <c r="E178" s="214"/>
      <c r="F178" s="189">
        <f t="shared" ref="F178:F180" si="7">+D178*E178</f>
        <v>0</v>
      </c>
      <c r="G178" s="92"/>
      <c r="H178" s="91"/>
      <c r="I178" s="91"/>
      <c r="J178" s="91"/>
      <c r="K178" s="91"/>
      <c r="L178" s="91"/>
      <c r="M178" s="91"/>
      <c r="N178" s="91"/>
      <c r="O178" s="91"/>
      <c r="P178" s="91"/>
      <c r="Q178" s="91"/>
      <c r="R178" s="91"/>
      <c r="S178" s="91"/>
      <c r="T178" s="91"/>
      <c r="U178" s="91"/>
      <c r="V178" s="91"/>
      <c r="W178" s="91"/>
      <c r="X178" s="91"/>
      <c r="Y178" s="91"/>
      <c r="Z178" s="91"/>
    </row>
    <row r="179" spans="1:26" s="90" customFormat="1" ht="15.75" customHeight="1">
      <c r="A179" s="107" t="s">
        <v>475</v>
      </c>
      <c r="B179" s="103" t="s">
        <v>269</v>
      </c>
      <c r="C179" s="206" t="s">
        <v>23</v>
      </c>
      <c r="D179" s="187">
        <v>1</v>
      </c>
      <c r="E179" s="214"/>
      <c r="F179" s="189">
        <f t="shared" si="7"/>
        <v>0</v>
      </c>
      <c r="G179" s="92"/>
      <c r="H179" s="91"/>
      <c r="I179" s="91"/>
      <c r="J179" s="91"/>
      <c r="K179" s="91"/>
      <c r="L179" s="91"/>
      <c r="M179" s="91"/>
      <c r="N179" s="91"/>
      <c r="O179" s="91"/>
      <c r="P179" s="91"/>
      <c r="Q179" s="91"/>
      <c r="R179" s="91"/>
      <c r="S179" s="91"/>
      <c r="T179" s="91"/>
      <c r="U179" s="91"/>
      <c r="V179" s="91"/>
      <c r="W179" s="91"/>
      <c r="X179" s="91"/>
      <c r="Y179" s="91"/>
      <c r="Z179" s="91"/>
    </row>
    <row r="180" spans="1:26" s="90" customFormat="1" ht="15.75" customHeight="1" thickBot="1">
      <c r="A180" s="107" t="s">
        <v>476</v>
      </c>
      <c r="B180" s="103" t="s">
        <v>250</v>
      </c>
      <c r="C180" s="206" t="s">
        <v>23</v>
      </c>
      <c r="D180" s="187">
        <v>1</v>
      </c>
      <c r="E180" s="214"/>
      <c r="F180" s="189">
        <f t="shared" si="7"/>
        <v>0</v>
      </c>
      <c r="G180" s="92"/>
      <c r="H180" s="91"/>
      <c r="I180" s="91"/>
      <c r="J180" s="91"/>
      <c r="K180" s="91"/>
      <c r="L180" s="91"/>
      <c r="M180" s="91"/>
      <c r="N180" s="91"/>
      <c r="O180" s="91"/>
      <c r="P180" s="91"/>
      <c r="Q180" s="91"/>
      <c r="R180" s="91"/>
      <c r="S180" s="91"/>
      <c r="T180" s="91"/>
      <c r="U180" s="91"/>
      <c r="V180" s="91"/>
      <c r="W180" s="91"/>
      <c r="X180" s="91"/>
      <c r="Y180" s="91"/>
      <c r="Z180" s="91"/>
    </row>
    <row r="181" spans="1:26" s="90" customFormat="1" ht="15.75" customHeight="1" thickBot="1">
      <c r="A181" s="173" t="s">
        <v>98</v>
      </c>
      <c r="B181" s="99" t="s">
        <v>195</v>
      </c>
      <c r="C181" s="191"/>
      <c r="D181" s="192"/>
      <c r="E181" s="192"/>
      <c r="F181" s="193">
        <f>SUM(F114:F180)</f>
        <v>0</v>
      </c>
      <c r="G181" s="92"/>
      <c r="H181" s="91"/>
      <c r="I181" s="91"/>
      <c r="J181" s="91"/>
      <c r="K181" s="91"/>
      <c r="L181" s="91"/>
      <c r="M181" s="91"/>
      <c r="N181" s="91"/>
      <c r="O181" s="91"/>
      <c r="P181" s="91"/>
      <c r="Q181" s="91"/>
      <c r="R181" s="91"/>
      <c r="S181" s="91"/>
      <c r="T181" s="91"/>
      <c r="U181" s="91"/>
      <c r="V181" s="91"/>
      <c r="W181" s="91"/>
      <c r="X181" s="91"/>
      <c r="Y181" s="91"/>
      <c r="Z181" s="91"/>
    </row>
    <row r="182" spans="1:26" customFormat="1" ht="15.6">
      <c r="A182" s="73">
        <v>10</v>
      </c>
      <c r="B182" s="96" t="s">
        <v>182</v>
      </c>
      <c r="C182" s="81"/>
      <c r="D182" s="81"/>
      <c r="E182" s="82"/>
      <c r="F182" s="83"/>
      <c r="G182" s="34"/>
      <c r="H182" s="33"/>
      <c r="I182" s="33"/>
      <c r="J182" s="33"/>
      <c r="K182" s="33"/>
      <c r="L182" s="33"/>
      <c r="M182" s="84"/>
    </row>
    <row r="183" spans="1:26" customFormat="1" ht="78" customHeight="1">
      <c r="A183" s="113"/>
      <c r="B183" s="97" t="s">
        <v>211</v>
      </c>
      <c r="C183" s="85"/>
      <c r="D183" s="86"/>
      <c r="E183" s="87"/>
      <c r="F183" s="86"/>
      <c r="G183" s="93"/>
      <c r="H183" s="93"/>
      <c r="I183" s="93"/>
      <c r="J183" s="94"/>
      <c r="K183" s="93"/>
      <c r="L183" s="94"/>
      <c r="M183" s="93"/>
      <c r="N183" s="93"/>
      <c r="O183" s="93"/>
      <c r="P183" s="93"/>
      <c r="Q183" s="93"/>
      <c r="R183" s="93"/>
      <c r="S183" s="93"/>
      <c r="T183" s="93"/>
      <c r="U183" s="93"/>
      <c r="V183" s="93"/>
      <c r="W183" s="93"/>
      <c r="X183" s="93"/>
      <c r="Y183" s="93"/>
      <c r="Z183" s="93"/>
    </row>
    <row r="184" spans="1:26" customFormat="1" ht="15.75" customHeight="1">
      <c r="A184" s="221">
        <v>10.1</v>
      </c>
      <c r="B184" s="98" t="s">
        <v>201</v>
      </c>
      <c r="C184" s="85"/>
      <c r="D184" s="86"/>
      <c r="E184" s="87"/>
      <c r="F184" s="86"/>
      <c r="G184" s="93"/>
      <c r="H184" s="93"/>
      <c r="I184" s="93"/>
      <c r="J184" s="94"/>
      <c r="K184" s="93"/>
      <c r="L184" s="94"/>
      <c r="M184" s="93"/>
      <c r="N184" s="93"/>
      <c r="O184" s="93"/>
      <c r="P184" s="93"/>
      <c r="Q184" s="93"/>
      <c r="R184" s="93"/>
      <c r="S184" s="93"/>
      <c r="T184" s="93"/>
      <c r="U184" s="93"/>
      <c r="V184" s="93"/>
      <c r="W184" s="93"/>
      <c r="X184" s="93"/>
      <c r="Y184" s="93"/>
      <c r="Z184" s="93"/>
    </row>
    <row r="185" spans="1:26" customFormat="1" ht="86.4">
      <c r="A185" s="107" t="s">
        <v>170</v>
      </c>
      <c r="B185" s="103" t="s">
        <v>183</v>
      </c>
      <c r="C185" s="85" t="s">
        <v>184</v>
      </c>
      <c r="D185" s="86">
        <v>8</v>
      </c>
      <c r="E185" s="87"/>
      <c r="F185" s="189">
        <f t="shared" ref="F185:F217" si="8">+D185*E185</f>
        <v>0</v>
      </c>
      <c r="G185" s="70"/>
      <c r="H185" s="33"/>
      <c r="I185" s="35"/>
      <c r="J185" s="35"/>
      <c r="K185" s="35"/>
      <c r="L185" s="35"/>
      <c r="M185" s="84"/>
    </row>
    <row r="186" spans="1:26" s="90" customFormat="1" ht="111" customHeight="1">
      <c r="A186" s="107" t="s">
        <v>477</v>
      </c>
      <c r="B186" s="103" t="s">
        <v>187</v>
      </c>
      <c r="C186" s="85" t="s">
        <v>184</v>
      </c>
      <c r="D186" s="86">
        <v>2</v>
      </c>
      <c r="E186" s="87"/>
      <c r="F186" s="189">
        <f t="shared" si="8"/>
        <v>0</v>
      </c>
      <c r="G186" s="88"/>
      <c r="H186" s="88"/>
      <c r="I186" s="88"/>
      <c r="J186" s="89"/>
      <c r="K186" s="88"/>
      <c r="L186" s="89"/>
      <c r="M186" s="88"/>
      <c r="N186" s="88"/>
      <c r="O186" s="88"/>
      <c r="P186" s="88"/>
      <c r="Q186" s="88"/>
      <c r="R186" s="88"/>
      <c r="S186" s="88"/>
      <c r="T186" s="88"/>
      <c r="U186" s="88"/>
      <c r="V186" s="88"/>
      <c r="W186" s="88"/>
      <c r="X186" s="88"/>
      <c r="Y186" s="88"/>
      <c r="Z186" s="88"/>
    </row>
    <row r="187" spans="1:26" s="90" customFormat="1" ht="65.25" customHeight="1">
      <c r="A187" s="107" t="s">
        <v>478</v>
      </c>
      <c r="B187" s="103" t="s">
        <v>185</v>
      </c>
      <c r="C187" s="85" t="s">
        <v>184</v>
      </c>
      <c r="D187" s="86">
        <v>3</v>
      </c>
      <c r="E187" s="87"/>
      <c r="F187" s="189">
        <f t="shared" si="8"/>
        <v>0</v>
      </c>
      <c r="G187" s="88"/>
      <c r="H187" s="88"/>
      <c r="I187" s="88"/>
      <c r="J187" s="89"/>
      <c r="K187" s="88"/>
      <c r="L187" s="89"/>
      <c r="M187" s="88"/>
      <c r="N187" s="88"/>
      <c r="O187" s="88"/>
      <c r="P187" s="88"/>
      <c r="Q187" s="88"/>
      <c r="R187" s="88"/>
      <c r="S187" s="88"/>
      <c r="T187" s="88"/>
      <c r="U187" s="88"/>
      <c r="V187" s="88"/>
      <c r="W187" s="88"/>
      <c r="X187" s="88"/>
      <c r="Y187" s="88"/>
      <c r="Z187" s="88"/>
    </row>
    <row r="188" spans="1:26" s="90" customFormat="1" ht="51" customHeight="1">
      <c r="A188" s="107" t="s">
        <v>479</v>
      </c>
      <c r="B188" s="103" t="s">
        <v>349</v>
      </c>
      <c r="C188" s="85" t="s">
        <v>184</v>
      </c>
      <c r="D188" s="86">
        <v>2</v>
      </c>
      <c r="E188" s="87"/>
      <c r="F188" s="189">
        <f t="shared" si="8"/>
        <v>0</v>
      </c>
      <c r="G188" s="88"/>
      <c r="H188" s="88"/>
      <c r="I188" s="88"/>
      <c r="J188" s="89"/>
      <c r="K188" s="88"/>
      <c r="L188" s="89"/>
      <c r="M188" s="88"/>
      <c r="N188" s="88"/>
      <c r="O188" s="88"/>
      <c r="P188" s="88"/>
      <c r="Q188" s="88"/>
      <c r="R188" s="88"/>
      <c r="S188" s="88"/>
      <c r="T188" s="88"/>
      <c r="U188" s="88"/>
      <c r="V188" s="88"/>
      <c r="W188" s="88"/>
      <c r="X188" s="88"/>
      <c r="Y188" s="88"/>
      <c r="Z188" s="88"/>
    </row>
    <row r="189" spans="1:26" customFormat="1" ht="34.950000000000003" customHeight="1">
      <c r="A189" s="107" t="s">
        <v>480</v>
      </c>
      <c r="B189" s="103" t="s">
        <v>350</v>
      </c>
      <c r="C189" s="85" t="s">
        <v>184</v>
      </c>
      <c r="D189" s="86">
        <v>3</v>
      </c>
      <c r="E189" s="87"/>
      <c r="F189" s="189">
        <f t="shared" si="8"/>
        <v>0</v>
      </c>
      <c r="G189" s="93"/>
      <c r="H189" s="93"/>
      <c r="I189" s="93"/>
      <c r="J189" s="94"/>
      <c r="K189" s="93"/>
      <c r="L189" s="94"/>
      <c r="M189" s="93"/>
      <c r="N189" s="93"/>
      <c r="O189" s="93"/>
      <c r="P189" s="93"/>
      <c r="Q189" s="93"/>
      <c r="R189" s="93"/>
      <c r="S189" s="93"/>
      <c r="T189" s="93"/>
      <c r="U189" s="93"/>
      <c r="V189" s="93"/>
      <c r="W189" s="93"/>
      <c r="X189" s="93"/>
      <c r="Y189" s="93"/>
      <c r="Z189" s="93"/>
    </row>
    <row r="190" spans="1:26" s="90" customFormat="1" ht="64.95" customHeight="1">
      <c r="A190" s="107" t="s">
        <v>481</v>
      </c>
      <c r="B190" s="103" t="s">
        <v>186</v>
      </c>
      <c r="C190" s="85" t="s">
        <v>184</v>
      </c>
      <c r="D190" s="86">
        <v>1</v>
      </c>
      <c r="E190" s="87"/>
      <c r="F190" s="189">
        <f t="shared" si="8"/>
        <v>0</v>
      </c>
      <c r="G190" s="88"/>
      <c r="H190" s="88"/>
      <c r="I190" s="88"/>
      <c r="J190" s="89"/>
      <c r="K190" s="88"/>
      <c r="L190" s="89"/>
      <c r="M190" s="88"/>
      <c r="N190" s="88"/>
      <c r="O190" s="88"/>
      <c r="P190" s="88"/>
      <c r="Q190" s="88"/>
      <c r="R190" s="88"/>
      <c r="S190" s="88"/>
      <c r="T190" s="88"/>
      <c r="U190" s="88"/>
      <c r="V190" s="88"/>
      <c r="W190" s="88"/>
      <c r="X190" s="88"/>
      <c r="Y190" s="88"/>
      <c r="Z190" s="88"/>
    </row>
    <row r="191" spans="1:26" customFormat="1" ht="15.75" customHeight="1">
      <c r="A191" s="221">
        <v>10.199999999999999</v>
      </c>
      <c r="B191" s="98" t="s">
        <v>202</v>
      </c>
      <c r="C191" s="85"/>
      <c r="D191" s="86"/>
      <c r="E191" s="87"/>
      <c r="F191" s="189"/>
      <c r="G191" s="93"/>
      <c r="H191" s="93"/>
      <c r="I191" s="93"/>
      <c r="J191" s="94"/>
      <c r="K191" s="93"/>
      <c r="L191" s="94"/>
      <c r="M191" s="93"/>
      <c r="N191" s="93"/>
      <c r="O191" s="93"/>
      <c r="P191" s="93"/>
      <c r="Q191" s="93"/>
      <c r="R191" s="93"/>
      <c r="S191" s="93"/>
      <c r="T191" s="93"/>
      <c r="U191" s="93"/>
      <c r="V191" s="93"/>
      <c r="W191" s="93"/>
      <c r="X191" s="93"/>
      <c r="Y191" s="93"/>
      <c r="Z191" s="93"/>
    </row>
    <row r="192" spans="1:26" customFormat="1" ht="82.95" customHeight="1">
      <c r="A192" s="107" t="s">
        <v>171</v>
      </c>
      <c r="B192" s="103" t="s">
        <v>522</v>
      </c>
      <c r="C192" s="216" t="s">
        <v>184</v>
      </c>
      <c r="D192" s="86">
        <v>1</v>
      </c>
      <c r="E192" s="87"/>
      <c r="F192" s="189">
        <f t="shared" si="8"/>
        <v>0</v>
      </c>
      <c r="G192" s="93"/>
      <c r="H192" s="93"/>
      <c r="I192" s="93"/>
      <c r="J192" s="94"/>
      <c r="K192" s="93"/>
      <c r="L192" s="94"/>
      <c r="M192" s="93"/>
      <c r="N192" s="93"/>
      <c r="O192" s="93"/>
      <c r="P192" s="93"/>
      <c r="Q192" s="93"/>
      <c r="R192" s="93"/>
      <c r="S192" s="93"/>
      <c r="T192" s="93"/>
      <c r="U192" s="93"/>
      <c r="V192" s="93"/>
      <c r="W192" s="93"/>
      <c r="X192" s="93"/>
      <c r="Y192" s="93"/>
      <c r="Z192" s="93"/>
    </row>
    <row r="193" spans="1:26" customFormat="1" ht="64.05" customHeight="1">
      <c r="A193" s="107" t="s">
        <v>482</v>
      </c>
      <c r="B193" s="103" t="s">
        <v>203</v>
      </c>
      <c r="C193" s="85"/>
      <c r="D193" s="86"/>
      <c r="E193" s="87"/>
      <c r="F193" s="189">
        <f t="shared" si="8"/>
        <v>0</v>
      </c>
      <c r="G193" s="93"/>
      <c r="H193" s="93"/>
      <c r="I193" s="93"/>
      <c r="J193" s="94"/>
      <c r="K193" s="93"/>
      <c r="L193" s="94"/>
      <c r="M193" s="93"/>
      <c r="N193" s="93"/>
      <c r="O193" s="93"/>
      <c r="P193" s="93"/>
      <c r="Q193" s="93"/>
      <c r="R193" s="93"/>
      <c r="S193" s="93"/>
      <c r="T193" s="93"/>
      <c r="U193" s="93"/>
      <c r="V193" s="93"/>
      <c r="W193" s="93"/>
      <c r="X193" s="93"/>
      <c r="Y193" s="93"/>
      <c r="Z193" s="93"/>
    </row>
    <row r="194" spans="1:26" customFormat="1" ht="15.75" customHeight="1">
      <c r="A194" s="107" t="s">
        <v>483</v>
      </c>
      <c r="B194" s="103" t="s">
        <v>204</v>
      </c>
      <c r="C194" s="85" t="s">
        <v>7</v>
      </c>
      <c r="D194" s="86">
        <v>38</v>
      </c>
      <c r="E194" s="87"/>
      <c r="F194" s="189">
        <f t="shared" si="8"/>
        <v>0</v>
      </c>
      <c r="G194" s="95"/>
      <c r="H194" s="95"/>
      <c r="I194" s="95"/>
      <c r="J194" s="95"/>
      <c r="K194" s="95"/>
      <c r="L194" s="95"/>
      <c r="M194" s="95"/>
      <c r="N194" s="95"/>
      <c r="O194" s="95"/>
      <c r="P194" s="95"/>
      <c r="Q194" s="95"/>
      <c r="R194" s="95"/>
      <c r="S194" s="95"/>
      <c r="T194" s="95"/>
      <c r="U194" s="95"/>
      <c r="V194" s="95"/>
      <c r="W194" s="95"/>
      <c r="X194" s="95"/>
      <c r="Y194" s="95"/>
      <c r="Z194" s="95"/>
    </row>
    <row r="195" spans="1:26" customFormat="1" ht="67.05" customHeight="1">
      <c r="A195" s="107" t="s">
        <v>484</v>
      </c>
      <c r="B195" s="103" t="s">
        <v>491</v>
      </c>
      <c r="C195" s="216" t="s">
        <v>184</v>
      </c>
      <c r="D195" s="86">
        <v>16</v>
      </c>
      <c r="E195" s="87"/>
      <c r="F195" s="189">
        <f t="shared" si="8"/>
        <v>0</v>
      </c>
      <c r="G195" s="93"/>
      <c r="H195" s="93"/>
      <c r="I195" s="93"/>
      <c r="J195" s="94"/>
      <c r="K195" s="93"/>
      <c r="L195" s="94"/>
      <c r="M195" s="93"/>
      <c r="N195" s="93"/>
      <c r="O195" s="93"/>
      <c r="P195" s="93"/>
      <c r="Q195" s="93"/>
      <c r="R195" s="93"/>
      <c r="S195" s="93"/>
      <c r="T195" s="93"/>
      <c r="U195" s="93"/>
      <c r="V195" s="93"/>
      <c r="W195" s="93"/>
      <c r="X195" s="93"/>
      <c r="Y195" s="93"/>
      <c r="Z195" s="93"/>
    </row>
    <row r="196" spans="1:26" customFormat="1" ht="33" customHeight="1">
      <c r="A196" s="107" t="s">
        <v>485</v>
      </c>
      <c r="B196" s="103" t="s">
        <v>351</v>
      </c>
      <c r="C196" s="216" t="s">
        <v>184</v>
      </c>
      <c r="D196" s="86">
        <v>22</v>
      </c>
      <c r="E196" s="87"/>
      <c r="F196" s="189">
        <f t="shared" si="8"/>
        <v>0</v>
      </c>
      <c r="G196" s="93"/>
      <c r="H196" s="93"/>
      <c r="I196" s="93"/>
      <c r="J196" s="94"/>
      <c r="K196" s="93"/>
      <c r="L196" s="94"/>
      <c r="M196" s="93"/>
      <c r="N196" s="93"/>
      <c r="O196" s="93"/>
      <c r="P196" s="93"/>
      <c r="Q196" s="93"/>
      <c r="R196" s="93"/>
      <c r="S196" s="93"/>
      <c r="T196" s="93"/>
      <c r="U196" s="93"/>
      <c r="V196" s="93"/>
      <c r="W196" s="93"/>
      <c r="X196" s="93"/>
      <c r="Y196" s="93"/>
      <c r="Z196" s="93"/>
    </row>
    <row r="197" spans="1:26" customFormat="1" ht="15.75" customHeight="1">
      <c r="A197" s="221">
        <v>10.3</v>
      </c>
      <c r="B197" s="98" t="s">
        <v>205</v>
      </c>
      <c r="C197" s="85"/>
      <c r="D197" s="86"/>
      <c r="E197" s="87"/>
      <c r="F197" s="189"/>
      <c r="G197" s="93"/>
      <c r="H197" s="93"/>
      <c r="I197" s="93"/>
      <c r="J197" s="94"/>
      <c r="K197" s="93"/>
      <c r="L197" s="94"/>
      <c r="M197" s="93"/>
      <c r="N197" s="93"/>
      <c r="O197" s="93"/>
      <c r="P197" s="93"/>
      <c r="Q197" s="93"/>
      <c r="R197" s="93"/>
      <c r="S197" s="93"/>
      <c r="T197" s="93"/>
      <c r="U197" s="93"/>
      <c r="V197" s="93"/>
      <c r="W197" s="93"/>
      <c r="X197" s="93"/>
      <c r="Y197" s="93"/>
      <c r="Z197" s="93"/>
    </row>
    <row r="198" spans="1:26" customFormat="1" ht="168" customHeight="1">
      <c r="A198" s="107"/>
      <c r="B198" s="103" t="s">
        <v>206</v>
      </c>
      <c r="C198" s="85"/>
      <c r="D198" s="86"/>
      <c r="E198" s="87"/>
      <c r="F198" s="189">
        <f t="shared" si="8"/>
        <v>0</v>
      </c>
      <c r="G198" s="93"/>
      <c r="H198" s="93"/>
      <c r="I198" s="93"/>
      <c r="J198" s="94"/>
      <c r="K198" s="93"/>
      <c r="L198" s="94"/>
      <c r="M198" s="93"/>
      <c r="N198" s="93"/>
      <c r="O198" s="93"/>
      <c r="P198" s="93"/>
      <c r="Q198" s="93"/>
      <c r="R198" s="93"/>
      <c r="S198" s="93"/>
      <c r="T198" s="93"/>
      <c r="U198" s="93"/>
      <c r="V198" s="93"/>
      <c r="W198" s="93"/>
      <c r="X198" s="93"/>
      <c r="Y198" s="93"/>
      <c r="Z198" s="93"/>
    </row>
    <row r="199" spans="1:26" customFormat="1" ht="64.95" customHeight="1">
      <c r="A199" s="107" t="s">
        <v>172</v>
      </c>
      <c r="B199" s="103" t="s">
        <v>207</v>
      </c>
      <c r="C199" s="216"/>
      <c r="D199" s="86"/>
      <c r="E199" s="87"/>
      <c r="F199" s="189">
        <f t="shared" si="8"/>
        <v>0</v>
      </c>
      <c r="G199" s="93"/>
      <c r="H199" s="93"/>
      <c r="I199" s="93"/>
      <c r="J199" s="94"/>
      <c r="K199" s="93"/>
      <c r="L199" s="94"/>
      <c r="M199" s="93"/>
      <c r="N199" s="93"/>
      <c r="O199" s="93"/>
      <c r="P199" s="93"/>
      <c r="Q199" s="93"/>
      <c r="R199" s="93"/>
      <c r="S199" s="93"/>
      <c r="T199" s="93"/>
      <c r="U199" s="93"/>
      <c r="V199" s="93"/>
      <c r="W199" s="93"/>
      <c r="X199" s="93"/>
      <c r="Y199" s="93"/>
      <c r="Z199" s="93"/>
    </row>
    <row r="200" spans="1:26" customFormat="1" ht="15.75" customHeight="1">
      <c r="A200" s="114"/>
      <c r="B200" s="103" t="s">
        <v>208</v>
      </c>
      <c r="C200" s="85" t="s">
        <v>7</v>
      </c>
      <c r="D200" s="86">
        <v>40</v>
      </c>
      <c r="E200" s="87"/>
      <c r="F200" s="189">
        <f t="shared" si="8"/>
        <v>0</v>
      </c>
      <c r="G200" s="95"/>
      <c r="H200" s="95"/>
      <c r="I200" s="95"/>
      <c r="J200" s="95"/>
      <c r="K200" s="95"/>
      <c r="L200" s="95"/>
      <c r="M200" s="95"/>
      <c r="N200" s="95"/>
      <c r="O200" s="95"/>
      <c r="P200" s="95"/>
      <c r="Q200" s="95"/>
      <c r="R200" s="95"/>
      <c r="S200" s="95"/>
      <c r="T200" s="95"/>
      <c r="U200" s="95"/>
      <c r="V200" s="95"/>
      <c r="W200" s="95"/>
      <c r="X200" s="95"/>
      <c r="Y200" s="95"/>
      <c r="Z200" s="95"/>
    </row>
    <row r="201" spans="1:26" customFormat="1" ht="15.75" customHeight="1">
      <c r="A201" s="114"/>
      <c r="B201" s="103" t="s">
        <v>209</v>
      </c>
      <c r="C201" s="85" t="s">
        <v>7</v>
      </c>
      <c r="D201" s="86">
        <v>20</v>
      </c>
      <c r="E201" s="87"/>
      <c r="F201" s="189">
        <f t="shared" si="8"/>
        <v>0</v>
      </c>
      <c r="G201" s="95"/>
      <c r="H201" s="95"/>
      <c r="I201" s="95"/>
      <c r="J201" s="95"/>
      <c r="K201" s="95"/>
      <c r="L201" s="95"/>
      <c r="M201" s="95"/>
      <c r="N201" s="95"/>
      <c r="O201" s="95"/>
      <c r="P201" s="95"/>
      <c r="Q201" s="95"/>
      <c r="R201" s="95"/>
      <c r="S201" s="95"/>
      <c r="T201" s="95"/>
      <c r="U201" s="95"/>
      <c r="V201" s="95"/>
      <c r="W201" s="95"/>
      <c r="X201" s="95"/>
      <c r="Y201" s="95"/>
      <c r="Z201" s="95"/>
    </row>
    <row r="202" spans="1:26" customFormat="1" ht="15.75" customHeight="1" thickBot="1">
      <c r="A202" s="114"/>
      <c r="B202" s="103" t="s">
        <v>210</v>
      </c>
      <c r="C202" s="85" t="s">
        <v>7</v>
      </c>
      <c r="D202" s="86">
        <v>5</v>
      </c>
      <c r="E202" s="87"/>
      <c r="F202" s="277">
        <f t="shared" si="8"/>
        <v>0</v>
      </c>
      <c r="G202" s="95"/>
      <c r="H202" s="95"/>
      <c r="I202" s="95"/>
      <c r="J202" s="95"/>
      <c r="K202" s="95"/>
      <c r="L202" s="95"/>
      <c r="M202" s="95"/>
      <c r="N202" s="95"/>
      <c r="O202" s="95"/>
      <c r="P202" s="95"/>
      <c r="Q202" s="95"/>
      <c r="R202" s="95"/>
      <c r="S202" s="95"/>
      <c r="T202" s="95"/>
      <c r="U202" s="95"/>
      <c r="V202" s="95"/>
      <c r="W202" s="95"/>
      <c r="X202" s="95"/>
      <c r="Y202" s="95"/>
      <c r="Z202" s="95"/>
    </row>
    <row r="203" spans="1:26" s="33" customFormat="1" ht="15" thickBot="1">
      <c r="A203" s="173" t="s">
        <v>196</v>
      </c>
      <c r="B203" s="99" t="s">
        <v>228</v>
      </c>
      <c r="C203" s="191"/>
      <c r="D203" s="192"/>
      <c r="E203" s="192"/>
      <c r="F203" s="279">
        <f>SUM(F185:F202)</f>
        <v>0</v>
      </c>
      <c r="G203" s="70"/>
      <c r="I203" s="35"/>
      <c r="J203" s="35"/>
      <c r="K203" s="35"/>
      <c r="L203" s="35"/>
    </row>
    <row r="204" spans="1:26" s="33" customFormat="1" ht="15.6">
      <c r="A204" s="73">
        <v>11</v>
      </c>
      <c r="B204" s="74" t="s">
        <v>176</v>
      </c>
      <c r="C204" s="75"/>
      <c r="D204" s="76"/>
      <c r="E204" s="77"/>
      <c r="F204" s="278"/>
      <c r="G204" s="34"/>
    </row>
    <row r="205" spans="1:26" ht="79.95" customHeight="1">
      <c r="A205" s="114">
        <v>11.1</v>
      </c>
      <c r="B205" s="103" t="s">
        <v>523</v>
      </c>
      <c r="C205" s="220" t="s">
        <v>184</v>
      </c>
      <c r="D205" s="80">
        <v>1</v>
      </c>
      <c r="E205" s="78"/>
      <c r="F205" s="189">
        <f t="shared" si="8"/>
        <v>0</v>
      </c>
    </row>
    <row r="206" spans="1:26">
      <c r="A206" s="114">
        <v>11.2</v>
      </c>
      <c r="B206" s="103" t="s">
        <v>504</v>
      </c>
      <c r="C206" s="220"/>
      <c r="D206" s="80"/>
      <c r="E206" s="78"/>
      <c r="F206" s="189">
        <f t="shared" si="8"/>
        <v>0</v>
      </c>
    </row>
    <row r="207" spans="1:26">
      <c r="A207" s="222" t="s">
        <v>494</v>
      </c>
      <c r="B207" s="103" t="s">
        <v>198</v>
      </c>
      <c r="C207" s="220" t="s">
        <v>184</v>
      </c>
      <c r="D207" s="80">
        <v>8</v>
      </c>
      <c r="E207" s="78"/>
      <c r="F207" s="189">
        <f t="shared" si="8"/>
        <v>0</v>
      </c>
    </row>
    <row r="208" spans="1:26">
      <c r="A208" s="222" t="s">
        <v>495</v>
      </c>
      <c r="B208" s="103" t="s">
        <v>199</v>
      </c>
      <c r="C208" s="220" t="s">
        <v>184</v>
      </c>
      <c r="D208" s="80">
        <v>4</v>
      </c>
      <c r="E208" s="78"/>
      <c r="F208" s="189">
        <f t="shared" si="8"/>
        <v>0</v>
      </c>
    </row>
    <row r="209" spans="1:6">
      <c r="A209" s="114">
        <v>11.3</v>
      </c>
      <c r="B209" s="103" t="s">
        <v>496</v>
      </c>
      <c r="C209" s="216" t="s">
        <v>7</v>
      </c>
      <c r="D209" s="80">
        <v>40</v>
      </c>
      <c r="E209" s="78"/>
      <c r="F209" s="189">
        <f t="shared" si="8"/>
        <v>0</v>
      </c>
    </row>
    <row r="210" spans="1:6">
      <c r="A210" s="114">
        <v>11.4</v>
      </c>
      <c r="B210" s="103" t="s">
        <v>497</v>
      </c>
      <c r="C210" s="216" t="s">
        <v>7</v>
      </c>
      <c r="D210" s="80">
        <v>24</v>
      </c>
      <c r="E210" s="78"/>
      <c r="F210" s="189">
        <f t="shared" si="8"/>
        <v>0</v>
      </c>
    </row>
    <row r="211" spans="1:6">
      <c r="A211" s="114">
        <v>11.5</v>
      </c>
      <c r="B211" s="103" t="s">
        <v>498</v>
      </c>
      <c r="C211" s="216" t="s">
        <v>184</v>
      </c>
      <c r="D211" s="80">
        <v>40</v>
      </c>
      <c r="E211" s="78"/>
      <c r="F211" s="189">
        <f t="shared" si="8"/>
        <v>0</v>
      </c>
    </row>
    <row r="212" spans="1:6">
      <c r="A212" s="114">
        <v>11.6</v>
      </c>
      <c r="B212" s="103" t="s">
        <v>499</v>
      </c>
      <c r="C212" s="216" t="s">
        <v>184</v>
      </c>
      <c r="D212" s="80">
        <v>50</v>
      </c>
      <c r="E212" s="78"/>
      <c r="F212" s="189">
        <f t="shared" si="8"/>
        <v>0</v>
      </c>
    </row>
    <row r="213" spans="1:6">
      <c r="A213" s="114">
        <v>11.7</v>
      </c>
      <c r="B213" s="103" t="s">
        <v>500</v>
      </c>
      <c r="C213" s="85" t="s">
        <v>184</v>
      </c>
      <c r="D213" s="80">
        <v>2</v>
      </c>
      <c r="E213" s="78"/>
      <c r="F213" s="189">
        <f t="shared" si="8"/>
        <v>0</v>
      </c>
    </row>
    <row r="214" spans="1:6">
      <c r="A214" s="114">
        <v>11.8</v>
      </c>
      <c r="B214" s="103" t="s">
        <v>501</v>
      </c>
      <c r="C214" s="85"/>
      <c r="D214" s="80"/>
      <c r="E214" s="78"/>
      <c r="F214" s="189">
        <f t="shared" si="8"/>
        <v>0</v>
      </c>
    </row>
    <row r="215" spans="1:6">
      <c r="A215" s="222" t="s">
        <v>502</v>
      </c>
      <c r="B215" s="103" t="s">
        <v>198</v>
      </c>
      <c r="C215" s="85" t="s">
        <v>184</v>
      </c>
      <c r="D215" s="80">
        <v>8</v>
      </c>
      <c r="E215" s="78"/>
      <c r="F215" s="189">
        <f t="shared" si="8"/>
        <v>0</v>
      </c>
    </row>
    <row r="216" spans="1:6">
      <c r="A216" s="222" t="s">
        <v>503</v>
      </c>
      <c r="B216" s="103" t="s">
        <v>199</v>
      </c>
      <c r="C216" s="85" t="s">
        <v>184</v>
      </c>
      <c r="D216" s="80">
        <v>4</v>
      </c>
      <c r="E216" s="78"/>
      <c r="F216" s="189">
        <f t="shared" si="8"/>
        <v>0</v>
      </c>
    </row>
    <row r="217" spans="1:6" ht="15" thickBot="1">
      <c r="A217" s="114">
        <v>11.9</v>
      </c>
      <c r="B217" s="103" t="s">
        <v>493</v>
      </c>
      <c r="C217" s="85" t="s">
        <v>177</v>
      </c>
      <c r="D217" s="80">
        <v>1</v>
      </c>
      <c r="E217" s="78"/>
      <c r="F217" s="189">
        <f t="shared" si="8"/>
        <v>0</v>
      </c>
    </row>
    <row r="218" spans="1:6" ht="15" thickBot="1">
      <c r="A218" s="173" t="s">
        <v>227</v>
      </c>
      <c r="B218" s="99" t="s">
        <v>229</v>
      </c>
      <c r="C218" s="191"/>
      <c r="D218" s="192"/>
      <c r="E218" s="192"/>
      <c r="F218" s="193">
        <f>SUM(F205:F217)</f>
        <v>0</v>
      </c>
    </row>
  </sheetData>
  <protectedRanges>
    <protectedRange sqref="E3:F218" name="Range1"/>
  </protectedRanges>
  <mergeCells count="1">
    <mergeCell ref="A1:F1"/>
  </mergeCells>
  <phoneticPr fontId="15" type="noConversion"/>
  <pageMargins left="0.7" right="0.7" top="0.75" bottom="0.75" header="0.3" footer="0.3"/>
  <pageSetup scale="75" fitToHeight="0" orientation="portrait" r:id="rId1"/>
  <headerFooter>
    <oddHeader>&amp;F</oddHeader>
    <oddFooter>&amp;CPage &amp;P / &amp;N</oddFooter>
  </headerFooter>
  <rowBreaks count="5" manualBreakCount="5">
    <brk id="34" max="5" man="1"/>
    <brk id="72" max="5" man="1"/>
    <brk id="99" max="5" man="1"/>
    <brk id="157" max="5" man="1"/>
    <brk id="19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97"/>
  <sheetViews>
    <sheetView topLeftCell="A38" workbookViewId="0">
      <selection activeCell="A38" sqref="A1:XFD1048576"/>
    </sheetView>
  </sheetViews>
  <sheetFormatPr defaultColWidth="14.44140625" defaultRowHeight="15" customHeight="1"/>
  <cols>
    <col min="1" max="1" width="7.44140625" customWidth="1"/>
    <col min="2" max="2" width="7.109375" customWidth="1"/>
    <col min="3" max="3" width="10.44140625" customWidth="1"/>
    <col min="4" max="4" width="46.44140625" customWidth="1"/>
    <col min="5" max="13" width="8.6640625" customWidth="1"/>
  </cols>
  <sheetData>
    <row r="1" spans="1:13" thickBot="1">
      <c r="A1" s="265" t="s">
        <v>242</v>
      </c>
      <c r="B1" s="266"/>
      <c r="C1" s="266"/>
      <c r="D1" s="267"/>
      <c r="E1" s="101"/>
      <c r="F1" s="101"/>
      <c r="G1" s="101"/>
      <c r="H1" s="101"/>
      <c r="I1" s="101"/>
      <c r="J1" s="101"/>
      <c r="K1" s="101"/>
      <c r="L1" s="101"/>
      <c r="M1" s="101"/>
    </row>
    <row r="2" spans="1:13" ht="14.4">
      <c r="A2" s="131"/>
      <c r="B2" s="131"/>
      <c r="C2" s="131"/>
      <c r="D2" s="131" t="s">
        <v>233</v>
      </c>
      <c r="E2" s="101"/>
      <c r="F2" s="101"/>
      <c r="G2" s="101"/>
      <c r="H2" s="101"/>
      <c r="I2" s="101"/>
      <c r="J2" s="101"/>
      <c r="K2" s="101"/>
      <c r="L2" s="101"/>
      <c r="M2" s="101"/>
    </row>
    <row r="3" spans="1:13" ht="15.75" customHeight="1">
      <c r="A3" s="119"/>
      <c r="B3" s="119"/>
      <c r="C3" s="119"/>
      <c r="D3" s="122" t="s">
        <v>259</v>
      </c>
    </row>
    <row r="4" spans="1:13" ht="15.75" customHeight="1">
      <c r="A4" s="119"/>
      <c r="B4" s="119"/>
      <c r="C4" s="119"/>
      <c r="D4" s="123" t="s">
        <v>261</v>
      </c>
    </row>
    <row r="5" spans="1:13" ht="15.75" customHeight="1">
      <c r="A5" s="119"/>
      <c r="B5" s="119"/>
      <c r="C5" s="119"/>
      <c r="D5" s="119" t="s">
        <v>246</v>
      </c>
    </row>
    <row r="6" spans="1:13" ht="15.75" customHeight="1">
      <c r="A6" s="119">
        <v>1</v>
      </c>
      <c r="B6" s="119">
        <v>1</v>
      </c>
      <c r="C6" s="119"/>
      <c r="D6" s="119" t="s">
        <v>260</v>
      </c>
    </row>
    <row r="7" spans="1:13" ht="15.75" customHeight="1">
      <c r="A7" s="120"/>
      <c r="B7" s="120">
        <v>2.1</v>
      </c>
      <c r="C7" s="120">
        <f>PRODUCT(A6:B7)</f>
        <v>2.1</v>
      </c>
      <c r="D7" s="119"/>
    </row>
    <row r="8" spans="1:13" ht="15.75" customHeight="1">
      <c r="A8" s="119"/>
      <c r="B8" s="119"/>
      <c r="C8" s="119"/>
      <c r="D8" s="119" t="s">
        <v>199</v>
      </c>
    </row>
    <row r="9" spans="1:13" ht="15.75" customHeight="1">
      <c r="A9" s="119">
        <v>2</v>
      </c>
      <c r="B9" s="119">
        <v>1.5</v>
      </c>
      <c r="C9" s="119"/>
      <c r="D9" s="119" t="s">
        <v>262</v>
      </c>
    </row>
    <row r="10" spans="1:13" ht="15.75" customHeight="1">
      <c r="A10" s="120"/>
      <c r="B10" s="120">
        <v>2</v>
      </c>
      <c r="C10" s="120">
        <f>PRODUCT(A9:B10)</f>
        <v>6</v>
      </c>
      <c r="D10" s="119"/>
    </row>
    <row r="11" spans="1:13" ht="15.75" customHeight="1">
      <c r="A11" s="119"/>
      <c r="B11" s="119"/>
      <c r="C11" s="119"/>
      <c r="D11" s="119" t="s">
        <v>199</v>
      </c>
    </row>
    <row r="12" spans="1:13" ht="15.75" customHeight="1">
      <c r="A12" s="119">
        <v>1</v>
      </c>
      <c r="B12" s="119">
        <v>1</v>
      </c>
      <c r="C12" s="119"/>
      <c r="D12" s="119" t="s">
        <v>260</v>
      </c>
    </row>
    <row r="13" spans="1:13" ht="15.75" customHeight="1">
      <c r="A13" s="120"/>
      <c r="B13" s="120">
        <v>2.1</v>
      </c>
      <c r="C13" s="120">
        <f>PRODUCT(A12:B13)</f>
        <v>2.1</v>
      </c>
      <c r="D13" s="119"/>
    </row>
    <row r="14" spans="1:13" ht="15.75" customHeight="1">
      <c r="A14" s="119"/>
      <c r="B14" s="119"/>
      <c r="C14" s="119"/>
      <c r="D14" s="119" t="s">
        <v>197</v>
      </c>
    </row>
    <row r="15" spans="1:13" ht="15.75" customHeight="1">
      <c r="A15" s="119">
        <v>1</v>
      </c>
      <c r="B15" s="119">
        <v>1</v>
      </c>
      <c r="C15" s="119"/>
      <c r="D15" s="119" t="s">
        <v>263</v>
      </c>
    </row>
    <row r="16" spans="1:13" ht="15.75" customHeight="1">
      <c r="A16" s="120"/>
      <c r="B16" s="120">
        <v>2</v>
      </c>
      <c r="C16" s="120">
        <f>PRODUCT(A15:B16)</f>
        <v>2</v>
      </c>
      <c r="D16" s="119"/>
    </row>
    <row r="17" spans="1:4" ht="15.75" customHeight="1">
      <c r="A17" s="119"/>
      <c r="B17" s="119"/>
      <c r="C17" s="119"/>
      <c r="D17" s="119" t="s">
        <v>251</v>
      </c>
    </row>
    <row r="18" spans="1:4" ht="15.75" customHeight="1">
      <c r="A18" s="119">
        <v>1</v>
      </c>
      <c r="B18" s="119">
        <v>0.9</v>
      </c>
      <c r="C18" s="119"/>
      <c r="D18" s="119" t="s">
        <v>260</v>
      </c>
    </row>
    <row r="19" spans="1:4" ht="15.75" customHeight="1">
      <c r="A19" s="120"/>
      <c r="B19" s="120">
        <v>2.1</v>
      </c>
      <c r="C19" s="120">
        <f>PRODUCT(A18:B19)</f>
        <v>1.8900000000000001</v>
      </c>
      <c r="D19" s="119"/>
    </row>
    <row r="20" spans="1:4" ht="15.75" customHeight="1">
      <c r="A20" s="119"/>
      <c r="B20" s="119"/>
      <c r="C20" s="119"/>
      <c r="D20" s="119" t="s">
        <v>264</v>
      </c>
    </row>
    <row r="21" spans="1:4" ht="15.75" customHeight="1">
      <c r="A21" s="119">
        <v>1</v>
      </c>
      <c r="B21" s="119">
        <v>4</v>
      </c>
      <c r="C21" s="119"/>
      <c r="D21" s="119"/>
    </row>
    <row r="22" spans="1:4" ht="15.75" customHeight="1">
      <c r="A22" s="120"/>
      <c r="B22" s="120">
        <v>3.2</v>
      </c>
      <c r="C22" s="120">
        <f>PRODUCT(A21:B22)</f>
        <v>12.8</v>
      </c>
      <c r="D22" s="119"/>
    </row>
    <row r="23" spans="1:4" ht="15.75" customHeight="1">
      <c r="A23" s="119"/>
      <c r="B23" s="119"/>
      <c r="C23" s="119"/>
      <c r="D23" s="119" t="s">
        <v>252</v>
      </c>
    </row>
    <row r="24" spans="1:4" ht="15.75" customHeight="1">
      <c r="A24" s="119">
        <v>1</v>
      </c>
      <c r="B24" s="119">
        <v>0.8</v>
      </c>
      <c r="C24" s="119"/>
      <c r="D24" s="119" t="s">
        <v>260</v>
      </c>
    </row>
    <row r="25" spans="1:4" ht="15.75" customHeight="1">
      <c r="A25" s="120"/>
      <c r="B25" s="120">
        <v>2.1</v>
      </c>
      <c r="C25" s="120">
        <f>PRODUCT(A24:B25)</f>
        <v>1.6800000000000002</v>
      </c>
      <c r="D25" s="119"/>
    </row>
    <row r="26" spans="1:4" ht="15.75" customHeight="1">
      <c r="A26" s="119"/>
      <c r="B26" s="119"/>
      <c r="C26" s="119"/>
      <c r="D26" s="119" t="s">
        <v>265</v>
      </c>
    </row>
    <row r="27" spans="1:4" ht="15.75" customHeight="1">
      <c r="A27" s="119">
        <v>3</v>
      </c>
      <c r="B27" s="119">
        <f>1.75+1.5</f>
        <v>3.25</v>
      </c>
      <c r="C27" s="119"/>
      <c r="D27" s="119" t="s">
        <v>266</v>
      </c>
    </row>
    <row r="28" spans="1:4" ht="15.75" customHeight="1">
      <c r="A28" s="120"/>
      <c r="B28" s="120">
        <v>3.2</v>
      </c>
      <c r="C28" s="120">
        <f>PRODUCT(A27:B28)</f>
        <v>31.200000000000003</v>
      </c>
      <c r="D28" s="119"/>
    </row>
    <row r="29" spans="1:4" ht="15.75" customHeight="1">
      <c r="A29" s="119"/>
      <c r="B29" s="119"/>
      <c r="C29" s="119"/>
      <c r="D29" s="119" t="s">
        <v>267</v>
      </c>
    </row>
    <row r="30" spans="1:4" ht="15.75" customHeight="1">
      <c r="A30" s="119">
        <v>1</v>
      </c>
      <c r="B30" s="119">
        <v>0.7</v>
      </c>
      <c r="C30" s="119"/>
      <c r="D30" s="119" t="s">
        <v>260</v>
      </c>
    </row>
    <row r="31" spans="1:4" ht="15.75" customHeight="1">
      <c r="A31" s="120"/>
      <c r="B31" s="120">
        <v>2.1</v>
      </c>
      <c r="C31" s="120">
        <f>PRODUCT(A30:B31)</f>
        <v>1.47</v>
      </c>
      <c r="D31" s="119"/>
    </row>
    <row r="32" spans="1:4" ht="15.75" customHeight="1">
      <c r="A32" s="119"/>
      <c r="B32" s="119"/>
      <c r="C32" s="119"/>
      <c r="D32" s="119" t="s">
        <v>268</v>
      </c>
    </row>
    <row r="33" spans="1:4" ht="15.75" customHeight="1">
      <c r="A33" s="119">
        <v>1</v>
      </c>
      <c r="B33" s="119">
        <v>0.8</v>
      </c>
      <c r="C33" s="119"/>
      <c r="D33" s="119" t="s">
        <v>260</v>
      </c>
    </row>
    <row r="34" spans="1:4" ht="15.75" customHeight="1">
      <c r="A34" s="120"/>
      <c r="B34" s="120">
        <v>2.1</v>
      </c>
      <c r="C34" s="120">
        <f>PRODUCT(A33:B34)</f>
        <v>1.6800000000000002</v>
      </c>
      <c r="D34" s="119"/>
    </row>
    <row r="35" spans="1:4" ht="15.75" customHeight="1">
      <c r="A35" s="119"/>
      <c r="B35" s="119"/>
      <c r="C35" s="119"/>
      <c r="D35" s="119" t="s">
        <v>269</v>
      </c>
    </row>
    <row r="36" spans="1:4" ht="15.75" customHeight="1">
      <c r="A36" s="119">
        <v>1</v>
      </c>
      <c r="B36" s="119">
        <v>0.8</v>
      </c>
      <c r="C36" s="119"/>
      <c r="D36" s="119" t="s">
        <v>260</v>
      </c>
    </row>
    <row r="37" spans="1:4" ht="15.75" customHeight="1">
      <c r="A37" s="120"/>
      <c r="B37" s="120">
        <v>2.1</v>
      </c>
      <c r="C37" s="120">
        <f>PRODUCT(A36:B37)</f>
        <v>1.6800000000000002</v>
      </c>
      <c r="D37" s="119"/>
    </row>
    <row r="38" spans="1:4" ht="15.75" customHeight="1" thickBot="1">
      <c r="A38" s="119"/>
      <c r="B38" s="119"/>
      <c r="C38" s="126">
        <f>SUM(C7:C37)</f>
        <v>64.600000000000009</v>
      </c>
      <c r="D38" s="119" t="s">
        <v>234</v>
      </c>
    </row>
    <row r="39" spans="1:4" ht="15.75" customHeight="1" thickTop="1">
      <c r="A39" s="119"/>
      <c r="B39" s="119"/>
      <c r="C39" s="119"/>
      <c r="D39" s="119"/>
    </row>
    <row r="40" spans="1:4" ht="15.75" customHeight="1">
      <c r="A40" s="119"/>
      <c r="B40" s="119"/>
      <c r="C40" s="119"/>
      <c r="D40" s="122" t="s">
        <v>257</v>
      </c>
    </row>
    <row r="41" spans="1:4" ht="15.75" customHeight="1">
      <c r="A41" s="119"/>
      <c r="B41" s="119"/>
      <c r="C41" s="119"/>
      <c r="D41" s="124" t="s">
        <v>235</v>
      </c>
    </row>
    <row r="42" spans="1:4" ht="15.75" customHeight="1">
      <c r="A42" s="119"/>
      <c r="B42" s="119"/>
      <c r="C42" s="119"/>
      <c r="D42" s="119" t="s">
        <v>246</v>
      </c>
    </row>
    <row r="43" spans="1:4" ht="15.75" customHeight="1">
      <c r="A43" s="119">
        <v>1</v>
      </c>
      <c r="B43" s="119">
        <v>1.2</v>
      </c>
      <c r="C43" s="119"/>
      <c r="D43" s="119" t="s">
        <v>247</v>
      </c>
    </row>
    <row r="44" spans="1:4" ht="15.75" customHeight="1">
      <c r="A44" s="120"/>
      <c r="B44" s="120">
        <v>2.1</v>
      </c>
      <c r="C44" s="120">
        <f>PRODUCT(A43:B44)</f>
        <v>2.52</v>
      </c>
      <c r="D44" s="119"/>
    </row>
    <row r="45" spans="1:4" ht="15.75" customHeight="1">
      <c r="A45" s="119"/>
      <c r="B45" s="119"/>
      <c r="C45" s="119"/>
      <c r="D45" s="119" t="s">
        <v>270</v>
      </c>
    </row>
    <row r="46" spans="1:4" ht="15.75" customHeight="1">
      <c r="A46" s="119">
        <v>1</v>
      </c>
      <c r="B46" s="119">
        <v>1.2</v>
      </c>
      <c r="C46" s="119"/>
      <c r="D46" s="119" t="s">
        <v>247</v>
      </c>
    </row>
    <row r="47" spans="1:4" ht="15.75" customHeight="1">
      <c r="A47" s="120"/>
      <c r="B47" s="120">
        <v>2.1</v>
      </c>
      <c r="C47" s="120">
        <f>PRODUCT(A46:B47)</f>
        <v>2.52</v>
      </c>
      <c r="D47" s="119"/>
    </row>
    <row r="48" spans="1:4" ht="15.75" customHeight="1">
      <c r="A48" s="119"/>
      <c r="B48" s="119"/>
      <c r="C48" s="119"/>
      <c r="D48" s="119" t="s">
        <v>197</v>
      </c>
    </row>
    <row r="49" spans="1:4" ht="15.75" customHeight="1">
      <c r="A49" s="119">
        <v>1</v>
      </c>
      <c r="B49" s="119">
        <v>4</v>
      </c>
      <c r="C49" s="119"/>
      <c r="D49" s="119" t="s">
        <v>248</v>
      </c>
    </row>
    <row r="50" spans="1:4" ht="15.75" customHeight="1">
      <c r="A50" s="120"/>
      <c r="B50" s="120">
        <v>3</v>
      </c>
      <c r="C50" s="120">
        <f>PRODUCT(A49:B50)</f>
        <v>12</v>
      </c>
      <c r="D50" s="119"/>
    </row>
    <row r="51" spans="1:4" ht="15.75" customHeight="1">
      <c r="A51" s="119"/>
      <c r="B51" s="119"/>
      <c r="C51" s="119"/>
      <c r="D51" s="119" t="s">
        <v>197</v>
      </c>
    </row>
    <row r="52" spans="1:4" ht="15.75" customHeight="1">
      <c r="A52" s="119">
        <v>1</v>
      </c>
      <c r="B52" s="119">
        <v>2</v>
      </c>
      <c r="C52" s="119"/>
      <c r="D52" s="119" t="s">
        <v>249</v>
      </c>
    </row>
    <row r="53" spans="1:4" ht="15.75" customHeight="1">
      <c r="A53" s="120"/>
      <c r="B53" s="120">
        <v>2</v>
      </c>
      <c r="C53" s="120">
        <f>PRODUCT(A52:B53)</f>
        <v>4</v>
      </c>
      <c r="D53" s="119"/>
    </row>
    <row r="54" spans="1:4" ht="15.75" customHeight="1">
      <c r="A54" s="119"/>
      <c r="B54" s="119"/>
      <c r="C54" s="119"/>
      <c r="D54" s="119" t="s">
        <v>250</v>
      </c>
    </row>
    <row r="55" spans="1:4" ht="15.75" customHeight="1">
      <c r="A55" s="119">
        <v>2</v>
      </c>
      <c r="B55" s="119">
        <v>0.75</v>
      </c>
      <c r="C55" s="119"/>
      <c r="D55" s="119" t="s">
        <v>247</v>
      </c>
    </row>
    <row r="56" spans="1:4" ht="15.75" customHeight="1">
      <c r="A56" s="120"/>
      <c r="B56" s="120">
        <v>2.1</v>
      </c>
      <c r="C56" s="120">
        <f>PRODUCT(A55:B56)</f>
        <v>3.1500000000000004</v>
      </c>
      <c r="D56" s="119"/>
    </row>
    <row r="57" spans="1:4" ht="15.75" customHeight="1">
      <c r="A57" s="119"/>
      <c r="B57" s="119"/>
      <c r="C57" s="119"/>
      <c r="D57" s="119" t="s">
        <v>251</v>
      </c>
    </row>
    <row r="58" spans="1:4" ht="15.75" customHeight="1">
      <c r="A58" s="119">
        <v>1</v>
      </c>
      <c r="B58" s="119">
        <v>0.75</v>
      </c>
      <c r="C58" s="119"/>
      <c r="D58" s="119" t="s">
        <v>247</v>
      </c>
    </row>
    <row r="59" spans="1:4" ht="15.75" customHeight="1">
      <c r="A59" s="120"/>
      <c r="B59" s="120">
        <v>2.1</v>
      </c>
      <c r="C59" s="120">
        <f>PRODUCT(A58:B59)</f>
        <v>1.5750000000000002</v>
      </c>
      <c r="D59" s="119"/>
    </row>
    <row r="60" spans="1:4" ht="15.75" customHeight="1">
      <c r="A60" s="119"/>
      <c r="B60" s="119"/>
      <c r="C60" s="119"/>
      <c r="D60" s="119" t="s">
        <v>251</v>
      </c>
    </row>
    <row r="61" spans="1:4" ht="15.75" customHeight="1">
      <c r="A61" s="119">
        <v>1</v>
      </c>
      <c r="B61" s="119">
        <v>1.5</v>
      </c>
      <c r="C61" s="119"/>
      <c r="D61" s="119" t="s">
        <v>249</v>
      </c>
    </row>
    <row r="62" spans="1:4" ht="15.75" customHeight="1">
      <c r="A62" s="120"/>
      <c r="B62" s="120">
        <v>2</v>
      </c>
      <c r="C62" s="120">
        <f>PRODUCT(A61:B62)</f>
        <v>3</v>
      </c>
      <c r="D62" s="119"/>
    </row>
    <row r="63" spans="1:4" ht="15.75" customHeight="1">
      <c r="A63" s="119"/>
      <c r="B63" s="119"/>
      <c r="C63" s="119"/>
      <c r="D63" s="119" t="s">
        <v>254</v>
      </c>
    </row>
    <row r="64" spans="1:4" ht="15.75" customHeight="1">
      <c r="A64" s="119">
        <v>1</v>
      </c>
      <c r="B64" s="119">
        <v>0.75</v>
      </c>
      <c r="C64" s="119"/>
      <c r="D64" s="119" t="s">
        <v>255</v>
      </c>
    </row>
    <row r="65" spans="1:4" ht="15.75" customHeight="1">
      <c r="A65" s="120"/>
      <c r="B65" s="120">
        <v>2.1</v>
      </c>
      <c r="C65" s="120">
        <f>PRODUCT(A64:B65)</f>
        <v>1.5750000000000002</v>
      </c>
      <c r="D65" s="119"/>
    </row>
    <row r="66" spans="1:4" ht="15.75" customHeight="1">
      <c r="A66" s="119"/>
      <c r="B66" s="119"/>
      <c r="C66" s="119"/>
      <c r="D66" s="119" t="s">
        <v>250</v>
      </c>
    </row>
    <row r="67" spans="1:4" ht="15.75" customHeight="1">
      <c r="A67" s="119">
        <v>1</v>
      </c>
      <c r="B67" s="119">
        <v>0.65</v>
      </c>
      <c r="C67" s="119"/>
      <c r="D67" s="119" t="s">
        <v>255</v>
      </c>
    </row>
    <row r="68" spans="1:4" ht="15.75" customHeight="1">
      <c r="A68" s="120"/>
      <c r="B68" s="120">
        <v>2.1</v>
      </c>
      <c r="C68" s="120">
        <f>PRODUCT(A67:B68)</f>
        <v>1.3650000000000002</v>
      </c>
      <c r="D68" s="119"/>
    </row>
    <row r="69" spans="1:4" ht="15.75" customHeight="1">
      <c r="A69" s="119"/>
      <c r="B69" s="119"/>
      <c r="C69" s="119"/>
      <c r="D69" s="119" t="s">
        <v>256</v>
      </c>
    </row>
    <row r="70" spans="1:4" ht="15.75" customHeight="1">
      <c r="A70" s="119">
        <v>1</v>
      </c>
      <c r="B70" s="119">
        <v>2</v>
      </c>
      <c r="C70" s="119"/>
      <c r="D70" s="119" t="s">
        <v>249</v>
      </c>
    </row>
    <row r="71" spans="1:4" ht="15.75" customHeight="1">
      <c r="A71" s="120"/>
      <c r="B71" s="120">
        <v>2</v>
      </c>
      <c r="C71" s="120">
        <f>PRODUCT(A70:B71)</f>
        <v>4</v>
      </c>
      <c r="D71" s="119"/>
    </row>
    <row r="72" spans="1:4" ht="15.75" customHeight="1">
      <c r="A72" s="119"/>
      <c r="B72" s="119"/>
      <c r="C72" s="119"/>
      <c r="D72" s="119" t="s">
        <v>378</v>
      </c>
    </row>
    <row r="73" spans="1:4" ht="15.75" customHeight="1">
      <c r="A73" s="119">
        <v>1</v>
      </c>
      <c r="B73" s="119">
        <f>1.2*2+2</f>
        <v>4.4000000000000004</v>
      </c>
      <c r="C73" s="119"/>
      <c r="D73" s="119" t="s">
        <v>399</v>
      </c>
    </row>
    <row r="74" spans="1:4" ht="15.75" customHeight="1">
      <c r="A74" s="120"/>
      <c r="B74" s="120">
        <v>1</v>
      </c>
      <c r="C74" s="120">
        <f>PRODUCT(A73:B74)</f>
        <v>4.4000000000000004</v>
      </c>
      <c r="D74" s="119"/>
    </row>
    <row r="75" spans="1:4" ht="15.75" customHeight="1" thickBot="1">
      <c r="A75" s="125"/>
      <c r="B75" s="119"/>
      <c r="C75" s="126">
        <f>SUM(C43:C74)</f>
        <v>40.104999999999997</v>
      </c>
      <c r="D75" s="119" t="s">
        <v>234</v>
      </c>
    </row>
    <row r="76" spans="1:4" ht="15.75" customHeight="1" thickTop="1">
      <c r="A76" s="125"/>
      <c r="B76" s="119"/>
      <c r="C76" s="118"/>
      <c r="D76" s="119"/>
    </row>
    <row r="77" spans="1:4" ht="15.75" customHeight="1">
      <c r="A77" s="119"/>
      <c r="B77" s="119"/>
      <c r="C77" s="119"/>
      <c r="D77" s="124" t="s">
        <v>258</v>
      </c>
    </row>
    <row r="78" spans="1:4" ht="15.75" customHeight="1">
      <c r="A78" s="119"/>
      <c r="B78" s="119"/>
      <c r="C78" s="119"/>
      <c r="D78" s="119" t="s">
        <v>252</v>
      </c>
    </row>
    <row r="79" spans="1:4" ht="15.75" customHeight="1">
      <c r="A79" s="119">
        <v>1</v>
      </c>
      <c r="B79" s="119">
        <f>1.1+3.25</f>
        <v>4.3499999999999996</v>
      </c>
      <c r="C79" s="119"/>
      <c r="D79" s="119" t="s">
        <v>253</v>
      </c>
    </row>
    <row r="80" spans="1:4" ht="15.75" customHeight="1">
      <c r="A80" s="120"/>
      <c r="B80" s="120">
        <v>3</v>
      </c>
      <c r="C80" s="120">
        <f>PRODUCT(A79:B80)</f>
        <v>13.049999999999999</v>
      </c>
      <c r="D80" s="119"/>
    </row>
    <row r="81" spans="1:4" ht="15.75" customHeight="1">
      <c r="A81" s="119"/>
      <c r="B81" s="119"/>
      <c r="C81" s="119"/>
      <c r="D81" s="119" t="s">
        <v>256</v>
      </c>
    </row>
    <row r="82" spans="1:4" ht="15.75" customHeight="1">
      <c r="A82" s="119">
        <v>1</v>
      </c>
      <c r="B82" s="119">
        <f>4+1.5</f>
        <v>5.5</v>
      </c>
      <c r="C82" s="119"/>
      <c r="D82" s="119" t="s">
        <v>253</v>
      </c>
    </row>
    <row r="83" spans="1:4" ht="15.75" customHeight="1">
      <c r="A83" s="120"/>
      <c r="B83" s="120">
        <v>3</v>
      </c>
      <c r="C83" s="120">
        <f>PRODUCT(A82:B83)</f>
        <v>16.5</v>
      </c>
      <c r="D83" s="119"/>
    </row>
    <row r="84" spans="1:4" ht="15.75" customHeight="1" thickBot="1">
      <c r="A84" s="125"/>
      <c r="B84" s="119"/>
      <c r="C84" s="126">
        <f>SUM(C79:C83)</f>
        <v>29.549999999999997</v>
      </c>
      <c r="D84" s="119" t="s">
        <v>234</v>
      </c>
    </row>
    <row r="85" spans="1:4" ht="15.75" customHeight="1" thickTop="1">
      <c r="A85" s="125"/>
      <c r="B85" s="119"/>
      <c r="C85" s="118"/>
      <c r="D85" s="119"/>
    </row>
    <row r="86" spans="1:4" ht="15.75" customHeight="1">
      <c r="A86" s="119"/>
      <c r="B86" s="119"/>
      <c r="C86" s="119"/>
      <c r="D86" s="175" t="s">
        <v>236</v>
      </c>
    </row>
    <row r="87" spans="1:4" ht="15.75" customHeight="1">
      <c r="A87" s="119"/>
      <c r="B87" s="119"/>
      <c r="C87" s="119"/>
      <c r="D87" s="119" t="s">
        <v>197</v>
      </c>
    </row>
    <row r="88" spans="1:4" ht="15.75" customHeight="1">
      <c r="A88" s="119">
        <v>2</v>
      </c>
      <c r="B88" s="119">
        <v>2</v>
      </c>
      <c r="C88" s="119"/>
      <c r="D88" s="119" t="s">
        <v>249</v>
      </c>
    </row>
    <row r="89" spans="1:4" ht="15.75" customHeight="1">
      <c r="A89" s="120"/>
      <c r="B89" s="120">
        <v>2</v>
      </c>
      <c r="C89" s="120">
        <f>PRODUCT(A88:B89)</f>
        <v>8</v>
      </c>
      <c r="D89" s="119"/>
    </row>
    <row r="90" spans="1:4" ht="15.75" customHeight="1">
      <c r="A90" s="119"/>
      <c r="B90" s="119"/>
      <c r="C90" s="119"/>
      <c r="D90" s="119" t="s">
        <v>200</v>
      </c>
    </row>
    <row r="91" spans="1:4" ht="15.75" customHeight="1">
      <c r="A91" s="119">
        <v>2</v>
      </c>
      <c r="B91" s="119">
        <v>1.5</v>
      </c>
      <c r="C91" s="119"/>
      <c r="D91" s="119" t="s">
        <v>249</v>
      </c>
    </row>
    <row r="92" spans="1:4" ht="15.75" customHeight="1">
      <c r="A92" s="120"/>
      <c r="B92" s="120">
        <v>2</v>
      </c>
      <c r="C92" s="120">
        <f>PRODUCT(A91:B92)</f>
        <v>6</v>
      </c>
      <c r="D92" s="119"/>
    </row>
    <row r="93" spans="1:4" ht="15.75" customHeight="1">
      <c r="A93" s="119"/>
      <c r="B93" s="119"/>
      <c r="C93" s="119"/>
      <c r="D93" s="119" t="s">
        <v>256</v>
      </c>
    </row>
    <row r="94" spans="1:4" ht="15.75" customHeight="1">
      <c r="A94" s="119">
        <v>2</v>
      </c>
      <c r="B94" s="119">
        <v>2</v>
      </c>
      <c r="C94" s="119"/>
      <c r="D94" s="119" t="s">
        <v>249</v>
      </c>
    </row>
    <row r="95" spans="1:4" ht="15.75" customHeight="1">
      <c r="A95" s="120"/>
      <c r="B95" s="120">
        <v>2</v>
      </c>
      <c r="C95" s="120">
        <f>PRODUCT(A94:B95)</f>
        <v>8</v>
      </c>
      <c r="D95" s="119"/>
    </row>
    <row r="96" spans="1:4" ht="15.75" customHeight="1" thickBot="1">
      <c r="A96" s="119"/>
      <c r="B96" s="119"/>
      <c r="C96" s="126">
        <f>SUM(C89:C95)</f>
        <v>22</v>
      </c>
      <c r="D96" s="119" t="s">
        <v>234</v>
      </c>
    </row>
    <row r="97" spans="1:4" ht="15.75" customHeight="1" thickTop="1">
      <c r="A97" s="119"/>
      <c r="B97" s="119"/>
      <c r="C97" s="118"/>
      <c r="D97" s="119"/>
    </row>
    <row r="98" spans="1:4" ht="15.75" customHeight="1">
      <c r="A98" s="119"/>
      <c r="B98" s="119"/>
      <c r="C98" s="119"/>
      <c r="D98" s="122" t="s">
        <v>315</v>
      </c>
    </row>
    <row r="99" spans="1:4" ht="15.75" customHeight="1">
      <c r="A99" s="119"/>
      <c r="B99" s="119"/>
      <c r="C99" s="119">
        <f>(C75-C50)*2</f>
        <v>56.209999999999994</v>
      </c>
      <c r="D99" s="129" t="s">
        <v>308</v>
      </c>
    </row>
    <row r="100" spans="1:4" ht="15.75" customHeight="1">
      <c r="A100" s="119"/>
      <c r="B100" s="119"/>
      <c r="C100" s="119">
        <f>C50*2</f>
        <v>24</v>
      </c>
      <c r="D100" s="129" t="s">
        <v>305</v>
      </c>
    </row>
    <row r="101" spans="1:4" ht="15.75" customHeight="1">
      <c r="A101" s="119"/>
      <c r="B101" s="119"/>
      <c r="C101" s="119">
        <f>C80*2</f>
        <v>26.099999999999998</v>
      </c>
      <c r="D101" s="129" t="s">
        <v>306</v>
      </c>
    </row>
    <row r="102" spans="1:4" ht="15.75" customHeight="1">
      <c r="A102" s="119"/>
      <c r="B102" s="119"/>
      <c r="C102" s="119">
        <f>C83*2</f>
        <v>33</v>
      </c>
      <c r="D102" s="119" t="s">
        <v>307</v>
      </c>
    </row>
    <row r="103" spans="1:4" ht="15.75" customHeight="1">
      <c r="A103" s="119"/>
      <c r="B103" s="119"/>
      <c r="C103" s="119">
        <f>C74*2</f>
        <v>8.8000000000000007</v>
      </c>
      <c r="D103" s="119" t="s">
        <v>378</v>
      </c>
    </row>
    <row r="104" spans="1:4" ht="15.75" customHeight="1" thickBot="1">
      <c r="A104" s="119"/>
      <c r="B104" s="119"/>
      <c r="C104" s="121">
        <f>SUM(C99:C103)</f>
        <v>148.11000000000001</v>
      </c>
      <c r="D104" s="119" t="s">
        <v>234</v>
      </c>
    </row>
    <row r="105" spans="1:4" s="178" customFormat="1" ht="15.75" customHeight="1" thickTop="1">
      <c r="A105" s="177"/>
      <c r="B105" s="177"/>
      <c r="C105" s="177"/>
      <c r="D105" s="177"/>
    </row>
    <row r="106" spans="1:4" ht="15.75" customHeight="1">
      <c r="A106" s="119"/>
      <c r="B106" s="119"/>
      <c r="C106" s="119"/>
      <c r="D106" s="122" t="s">
        <v>31</v>
      </c>
    </row>
    <row r="107" spans="1:4" ht="15.75" customHeight="1">
      <c r="A107" s="119"/>
      <c r="B107" s="119"/>
      <c r="C107" s="119"/>
      <c r="D107" s="181" t="s">
        <v>309</v>
      </c>
    </row>
    <row r="108" spans="1:4" ht="15.75" customHeight="1">
      <c r="A108" s="119"/>
      <c r="B108" s="119"/>
      <c r="C108" s="119"/>
      <c r="D108" s="119"/>
    </row>
    <row r="109" spans="1:4" ht="15.75" customHeight="1">
      <c r="A109" s="128">
        <v>2</v>
      </c>
      <c r="B109" s="119">
        <f>5-1.8</f>
        <v>3.2</v>
      </c>
      <c r="C109" s="119"/>
      <c r="D109" s="119"/>
    </row>
    <row r="110" spans="1:4" ht="15.75" customHeight="1">
      <c r="A110" s="120"/>
      <c r="B110" s="120">
        <v>18.25</v>
      </c>
      <c r="C110" s="120">
        <f>PRODUCT(A109:B110)</f>
        <v>116.80000000000001</v>
      </c>
      <c r="D110" s="119" t="s">
        <v>330</v>
      </c>
    </row>
    <row r="111" spans="1:4" ht="15.75" customHeight="1">
      <c r="A111" s="119"/>
      <c r="B111" s="119"/>
      <c r="C111" s="119"/>
      <c r="D111" s="119"/>
    </row>
    <row r="112" spans="1:4" ht="15.75" customHeight="1">
      <c r="A112" s="263">
        <v>2</v>
      </c>
      <c r="B112" s="119">
        <v>3</v>
      </c>
      <c r="C112" s="119"/>
      <c r="D112" s="119"/>
    </row>
    <row r="113" spans="1:4" ht="15.75" customHeight="1">
      <c r="A113" s="264"/>
      <c r="B113" s="120">
        <v>3</v>
      </c>
      <c r="C113" s="120">
        <f>PRODUCT(A112:B113)</f>
        <v>18</v>
      </c>
      <c r="D113" s="119" t="s">
        <v>341</v>
      </c>
    </row>
    <row r="114" spans="1:4" ht="15.75" customHeight="1">
      <c r="A114" s="119"/>
      <c r="B114" s="119"/>
      <c r="C114" s="119"/>
      <c r="D114" s="119" t="s">
        <v>310</v>
      </c>
    </row>
    <row r="115" spans="1:4" ht="15.75" customHeight="1">
      <c r="A115" s="263">
        <v>-3</v>
      </c>
      <c r="B115" s="119">
        <v>1.2</v>
      </c>
      <c r="C115" s="119"/>
      <c r="D115" s="119"/>
    </row>
    <row r="116" spans="1:4" ht="15.75" customHeight="1">
      <c r="A116" s="264"/>
      <c r="B116" s="120">
        <v>0.3</v>
      </c>
      <c r="C116" s="120">
        <f>PRODUCT(A115:B116)</f>
        <v>-1.0799999999999998</v>
      </c>
      <c r="D116" s="119" t="s">
        <v>311</v>
      </c>
    </row>
    <row r="117" spans="1:4" ht="15.75" customHeight="1">
      <c r="A117" s="119"/>
      <c r="B117" s="119"/>
      <c r="C117" s="119"/>
      <c r="D117" s="119"/>
    </row>
    <row r="118" spans="1:4" ht="15.75" customHeight="1">
      <c r="A118" s="263">
        <v>-2</v>
      </c>
      <c r="B118" s="119">
        <v>1</v>
      </c>
      <c r="C118" s="119"/>
      <c r="D118" s="119"/>
    </row>
    <row r="119" spans="1:4" ht="15.75" customHeight="1">
      <c r="A119" s="264"/>
      <c r="B119" s="120">
        <v>0.3</v>
      </c>
      <c r="C119" s="120">
        <f>PRODUCT(A118:B119)</f>
        <v>-0.6</v>
      </c>
      <c r="D119" s="119" t="s">
        <v>318</v>
      </c>
    </row>
    <row r="120" spans="1:4" ht="15.75" customHeight="1">
      <c r="A120" s="119"/>
      <c r="B120" s="119"/>
      <c r="C120" s="119"/>
      <c r="D120" s="119"/>
    </row>
    <row r="121" spans="1:4" ht="15.75" customHeight="1">
      <c r="A121" s="263">
        <v>-1</v>
      </c>
      <c r="B121" s="119">
        <v>0.9</v>
      </c>
      <c r="C121" s="119"/>
      <c r="D121" s="119"/>
    </row>
    <row r="122" spans="1:4" ht="15.75" customHeight="1">
      <c r="A122" s="264"/>
      <c r="B122" s="120">
        <v>0.3</v>
      </c>
      <c r="C122" s="120">
        <f>PRODUCT(A121:B122)</f>
        <v>-0.27</v>
      </c>
      <c r="D122" s="119" t="s">
        <v>319</v>
      </c>
    </row>
    <row r="123" spans="1:4" ht="15.75" customHeight="1">
      <c r="A123" s="119"/>
      <c r="B123" s="119"/>
      <c r="C123" s="119"/>
      <c r="D123" s="119"/>
    </row>
    <row r="124" spans="1:4" ht="15.75" customHeight="1">
      <c r="A124" s="263">
        <v>-4</v>
      </c>
      <c r="B124" s="119">
        <v>0.8</v>
      </c>
      <c r="C124" s="119"/>
      <c r="D124" s="119"/>
    </row>
    <row r="125" spans="1:4" ht="15.75" customHeight="1">
      <c r="A125" s="264"/>
      <c r="B125" s="120">
        <v>0.3</v>
      </c>
      <c r="C125" s="120">
        <f>PRODUCT(A124:B125)</f>
        <v>-0.96</v>
      </c>
      <c r="D125" s="119" t="s">
        <v>320</v>
      </c>
    </row>
    <row r="126" spans="1:4" ht="15.75" customHeight="1">
      <c r="A126" s="119"/>
      <c r="B126" s="119"/>
      <c r="C126" s="119"/>
      <c r="D126" s="119"/>
    </row>
    <row r="127" spans="1:4" ht="15.75" customHeight="1">
      <c r="A127" s="263">
        <v>1</v>
      </c>
      <c r="B127" s="119">
        <f>6.3*2+6.75*2</f>
        <v>26.1</v>
      </c>
      <c r="C127" s="119"/>
      <c r="D127" s="119"/>
    </row>
    <row r="128" spans="1:4" ht="15.75" customHeight="1">
      <c r="A128" s="264"/>
      <c r="B128" s="120">
        <v>3</v>
      </c>
      <c r="C128" s="120">
        <f>PRODUCT(A127:B128)</f>
        <v>78.300000000000011</v>
      </c>
      <c r="D128" s="119" t="s">
        <v>321</v>
      </c>
    </row>
    <row r="129" spans="1:4" ht="15.75" customHeight="1">
      <c r="A129" s="119"/>
      <c r="B129" s="119"/>
      <c r="C129" s="119"/>
    </row>
    <row r="130" spans="1:4" ht="15.75" customHeight="1">
      <c r="A130" s="263">
        <v>-2</v>
      </c>
      <c r="B130" s="119">
        <v>2</v>
      </c>
      <c r="C130" s="119"/>
      <c r="D130" s="119"/>
    </row>
    <row r="131" spans="1:4" ht="15.75" customHeight="1">
      <c r="A131" s="264"/>
      <c r="B131" s="120">
        <v>2</v>
      </c>
      <c r="C131" s="120">
        <f>PRODUCT(A130:B131)</f>
        <v>-8</v>
      </c>
      <c r="D131" s="119" t="s">
        <v>323</v>
      </c>
    </row>
    <row r="132" spans="1:4" ht="15.75" customHeight="1">
      <c r="A132" s="119"/>
      <c r="B132" s="119"/>
      <c r="C132" s="119"/>
    </row>
    <row r="133" spans="1:4" ht="15.75" customHeight="1">
      <c r="A133" s="263">
        <v>-1</v>
      </c>
      <c r="B133" s="119">
        <v>1.2</v>
      </c>
      <c r="C133" s="119"/>
      <c r="D133" s="119"/>
    </row>
    <row r="134" spans="1:4" ht="15.75" customHeight="1">
      <c r="A134" s="264"/>
      <c r="B134" s="120">
        <v>2.1</v>
      </c>
      <c r="C134" s="120">
        <f>PRODUCT(A133:B134)</f>
        <v>-2.52</v>
      </c>
      <c r="D134" s="119" t="s">
        <v>322</v>
      </c>
    </row>
    <row r="135" spans="1:4" ht="15.75" customHeight="1">
      <c r="A135" s="119"/>
      <c r="B135" s="119"/>
      <c r="C135" s="119"/>
      <c r="D135" s="119"/>
    </row>
    <row r="136" spans="1:4" ht="15.75" customHeight="1">
      <c r="A136" s="263">
        <v>1</v>
      </c>
      <c r="B136" s="119">
        <f>6.3*2+6.75*2</f>
        <v>26.1</v>
      </c>
      <c r="C136" s="119"/>
      <c r="D136" s="119"/>
    </row>
    <row r="137" spans="1:4" ht="15.75" customHeight="1">
      <c r="A137" s="264"/>
      <c r="B137" s="120">
        <v>1.2</v>
      </c>
      <c r="C137" s="120">
        <f>PRODUCT(A136:B137)</f>
        <v>31.32</v>
      </c>
      <c r="D137" s="119" t="s">
        <v>198</v>
      </c>
    </row>
    <row r="138" spans="1:4" ht="15.75" customHeight="1">
      <c r="A138" s="119"/>
      <c r="B138" s="119"/>
      <c r="C138" s="119"/>
    </row>
    <row r="139" spans="1:4" ht="15.75" customHeight="1">
      <c r="A139" s="263">
        <v>-2</v>
      </c>
      <c r="B139" s="119">
        <v>2</v>
      </c>
      <c r="C139" s="119"/>
      <c r="D139" s="119"/>
    </row>
    <row r="140" spans="1:4" ht="15.75" customHeight="1">
      <c r="A140" s="264"/>
      <c r="B140" s="120">
        <v>1.2</v>
      </c>
      <c r="C140" s="120">
        <f>PRODUCT(A139:B140)</f>
        <v>-4.8</v>
      </c>
      <c r="D140" s="119" t="s">
        <v>323</v>
      </c>
    </row>
    <row r="141" spans="1:4" ht="15.75" customHeight="1">
      <c r="A141" s="119"/>
      <c r="B141" s="119"/>
      <c r="C141" s="119"/>
    </row>
    <row r="142" spans="1:4" ht="15.75" customHeight="1">
      <c r="A142" s="263">
        <v>-2</v>
      </c>
      <c r="B142" s="119">
        <v>1.5</v>
      </c>
      <c r="C142" s="119"/>
      <c r="D142" s="119"/>
    </row>
    <row r="143" spans="1:4" ht="15.75" customHeight="1">
      <c r="A143" s="264"/>
      <c r="B143" s="120">
        <v>1.2</v>
      </c>
      <c r="C143" s="120">
        <f>PRODUCT(A142:B143)</f>
        <v>-3.5999999999999996</v>
      </c>
      <c r="D143" s="119" t="s">
        <v>323</v>
      </c>
    </row>
    <row r="144" spans="1:4" ht="15.75" customHeight="1">
      <c r="A144" s="119"/>
      <c r="B144" s="119"/>
      <c r="C144" s="119"/>
    </row>
    <row r="145" spans="1:4" ht="15.75" customHeight="1">
      <c r="A145" s="263">
        <v>-1</v>
      </c>
      <c r="B145" s="119">
        <v>1</v>
      </c>
      <c r="C145" s="119"/>
      <c r="D145" s="119"/>
    </row>
    <row r="146" spans="1:4" ht="15.75" customHeight="1">
      <c r="A146" s="264"/>
      <c r="B146" s="120">
        <v>0.3</v>
      </c>
      <c r="C146" s="120">
        <f>PRODUCT(A145:B146)</f>
        <v>-0.3</v>
      </c>
      <c r="D146" s="119" t="s">
        <v>322</v>
      </c>
    </row>
    <row r="147" spans="1:4" ht="15.75" customHeight="1">
      <c r="A147" s="119"/>
      <c r="B147" s="119"/>
      <c r="C147" s="119"/>
      <c r="D147" s="119"/>
    </row>
    <row r="148" spans="1:4" ht="15.75" customHeight="1">
      <c r="A148" s="263">
        <v>1</v>
      </c>
      <c r="B148" s="119">
        <f>6.3*2+3.25*2</f>
        <v>19.100000000000001</v>
      </c>
      <c r="C148" s="119"/>
      <c r="D148" s="119"/>
    </row>
    <row r="149" spans="1:4" ht="15.75" customHeight="1">
      <c r="A149" s="264"/>
      <c r="B149" s="120">
        <v>1.2</v>
      </c>
      <c r="C149" s="120">
        <f>PRODUCT(A148:B149)</f>
        <v>22.92</v>
      </c>
      <c r="D149" s="119" t="s">
        <v>199</v>
      </c>
    </row>
    <row r="150" spans="1:4" ht="15.75" customHeight="1">
      <c r="A150" s="119"/>
      <c r="B150" s="119"/>
      <c r="C150" s="119"/>
    </row>
    <row r="151" spans="1:4" ht="15.75" customHeight="1">
      <c r="A151" s="263">
        <v>-1</v>
      </c>
      <c r="B151" s="119">
        <v>2</v>
      </c>
      <c r="C151" s="119"/>
      <c r="D151" s="119"/>
    </row>
    <row r="152" spans="1:4" ht="15.75" customHeight="1">
      <c r="A152" s="264"/>
      <c r="B152" s="120">
        <v>1.2</v>
      </c>
      <c r="C152" s="120">
        <f>PRODUCT(A151:B152)</f>
        <v>-2.4</v>
      </c>
      <c r="D152" s="119" t="s">
        <v>323</v>
      </c>
    </row>
    <row r="153" spans="1:4" ht="15.75" customHeight="1">
      <c r="A153" s="119"/>
      <c r="B153" s="119"/>
      <c r="C153" s="119"/>
    </row>
    <row r="154" spans="1:4" ht="15.75" customHeight="1">
      <c r="A154" s="263">
        <v>-2</v>
      </c>
      <c r="B154" s="119">
        <v>1.5</v>
      </c>
      <c r="C154" s="119"/>
      <c r="D154" s="119"/>
    </row>
    <row r="155" spans="1:4" ht="15.75" customHeight="1">
      <c r="A155" s="264"/>
      <c r="B155" s="120">
        <v>1.2</v>
      </c>
      <c r="C155" s="120">
        <f>PRODUCT(A154:B155)</f>
        <v>-3.5999999999999996</v>
      </c>
      <c r="D155" s="119" t="s">
        <v>323</v>
      </c>
    </row>
    <row r="156" spans="1:4" ht="15.75" customHeight="1">
      <c r="A156" s="119"/>
      <c r="B156" s="119"/>
      <c r="C156" s="119"/>
    </row>
    <row r="157" spans="1:4" ht="15.75" customHeight="1">
      <c r="A157" s="263">
        <v>-1</v>
      </c>
      <c r="B157" s="119">
        <v>1</v>
      </c>
      <c r="C157" s="119"/>
      <c r="D157" s="119"/>
    </row>
    <row r="158" spans="1:4" ht="15.75" customHeight="1">
      <c r="A158" s="264"/>
      <c r="B158" s="120">
        <v>0.3</v>
      </c>
      <c r="C158" s="120">
        <f>PRODUCT(A157:B158)</f>
        <v>-0.3</v>
      </c>
      <c r="D158" s="119" t="s">
        <v>322</v>
      </c>
    </row>
    <row r="159" spans="1:4" ht="15.75" customHeight="1">
      <c r="A159" s="119"/>
      <c r="B159" s="119"/>
      <c r="C159" s="119"/>
      <c r="D159" s="119"/>
    </row>
    <row r="160" spans="1:4" ht="15.75" customHeight="1">
      <c r="A160" s="263">
        <v>1</v>
      </c>
      <c r="B160" s="119">
        <f>4*2+2*2</f>
        <v>12</v>
      </c>
      <c r="C160" s="119"/>
      <c r="D160" s="119"/>
    </row>
    <row r="161" spans="1:4" ht="15.75" customHeight="1">
      <c r="A161" s="264"/>
      <c r="B161" s="120">
        <v>3</v>
      </c>
      <c r="C161" s="120">
        <f>PRODUCT(A160:B161)</f>
        <v>36</v>
      </c>
      <c r="D161" s="119" t="s">
        <v>197</v>
      </c>
    </row>
    <row r="162" spans="1:4" ht="15.75" customHeight="1">
      <c r="A162" s="119"/>
      <c r="B162" s="119"/>
      <c r="C162" s="119"/>
    </row>
    <row r="163" spans="1:4" ht="15.75" customHeight="1">
      <c r="A163" s="263">
        <v>-1</v>
      </c>
      <c r="B163" s="119">
        <v>1.5</v>
      </c>
      <c r="C163" s="119"/>
      <c r="D163" s="119"/>
    </row>
    <row r="164" spans="1:4" ht="15.75" customHeight="1">
      <c r="A164" s="264"/>
      <c r="B164" s="120">
        <v>1.5</v>
      </c>
      <c r="C164" s="120">
        <f>PRODUCT(A163:B164)</f>
        <v>-2.25</v>
      </c>
      <c r="D164" s="119" t="s">
        <v>323</v>
      </c>
    </row>
    <row r="165" spans="1:4" ht="15.75" customHeight="1">
      <c r="A165" s="119"/>
      <c r="B165" s="119"/>
      <c r="C165" s="119"/>
    </row>
    <row r="166" spans="1:4" ht="15.75" customHeight="1">
      <c r="A166" s="263">
        <v>-1</v>
      </c>
      <c r="B166" s="119">
        <v>1.2</v>
      </c>
      <c r="C166" s="119"/>
      <c r="D166" s="119"/>
    </row>
    <row r="167" spans="1:4" ht="15.75" customHeight="1">
      <c r="A167" s="264"/>
      <c r="B167" s="120">
        <v>2.1</v>
      </c>
      <c r="C167" s="120">
        <f>PRODUCT(A166:B167)</f>
        <v>-2.52</v>
      </c>
      <c r="D167" s="119" t="s">
        <v>322</v>
      </c>
    </row>
    <row r="168" spans="1:4" ht="15.75" customHeight="1">
      <c r="A168" s="119"/>
      <c r="B168" s="119"/>
      <c r="C168" s="119"/>
      <c r="D168" s="119"/>
    </row>
    <row r="169" spans="1:4" ht="15.75" customHeight="1">
      <c r="A169" s="263">
        <v>1</v>
      </c>
      <c r="B169" s="119">
        <f>4.55*2+4*2</f>
        <v>17.100000000000001</v>
      </c>
      <c r="C169" s="119"/>
      <c r="D169" s="119"/>
    </row>
    <row r="170" spans="1:4" ht="15.75" customHeight="1">
      <c r="A170" s="264"/>
      <c r="B170" s="120">
        <v>1.2</v>
      </c>
      <c r="C170" s="120">
        <f>PRODUCT(A169:B170)</f>
        <v>20.52</v>
      </c>
      <c r="D170" s="119" t="s">
        <v>324</v>
      </c>
    </row>
    <row r="171" spans="1:4" ht="15.75" customHeight="1">
      <c r="A171" s="119"/>
      <c r="B171" s="119"/>
      <c r="C171" s="119"/>
    </row>
    <row r="172" spans="1:4" ht="15.75" customHeight="1">
      <c r="A172" s="263">
        <v>-1</v>
      </c>
      <c r="B172" s="119">
        <v>2.4</v>
      </c>
      <c r="C172" s="119"/>
      <c r="D172" s="119"/>
    </row>
    <row r="173" spans="1:4" ht="15.75" customHeight="1">
      <c r="A173" s="264"/>
      <c r="B173" s="120">
        <v>0.6</v>
      </c>
      <c r="C173" s="120">
        <f>PRODUCT(A172:B173)</f>
        <v>-1.44</v>
      </c>
      <c r="D173" s="119" t="s">
        <v>323</v>
      </c>
    </row>
    <row r="174" spans="1:4" ht="15.75" customHeight="1">
      <c r="A174" s="119"/>
      <c r="B174" s="119"/>
      <c r="C174" s="119"/>
    </row>
    <row r="175" spans="1:4" ht="15.75" customHeight="1">
      <c r="A175" s="263">
        <v>-1</v>
      </c>
      <c r="B175" s="119">
        <v>0.9</v>
      </c>
      <c r="C175" s="119"/>
      <c r="D175" s="119"/>
    </row>
    <row r="176" spans="1:4" ht="15.75" customHeight="1">
      <c r="A176" s="264"/>
      <c r="B176" s="120">
        <v>0.3</v>
      </c>
      <c r="C176" s="120">
        <f>PRODUCT(A175:B176)</f>
        <v>-0.27</v>
      </c>
      <c r="D176" s="119" t="s">
        <v>322</v>
      </c>
    </row>
    <row r="177" spans="1:4" ht="15.75" customHeight="1">
      <c r="A177" s="119"/>
      <c r="B177" s="119"/>
      <c r="C177" s="119"/>
      <c r="D177" s="119"/>
    </row>
    <row r="178" spans="1:4" ht="15.75" customHeight="1">
      <c r="A178" s="263">
        <v>1</v>
      </c>
      <c r="B178" s="119">
        <f>4.35*2</f>
        <v>8.6999999999999993</v>
      </c>
      <c r="C178" s="119"/>
      <c r="D178" s="119"/>
    </row>
    <row r="179" spans="1:4" ht="15.75" customHeight="1">
      <c r="A179" s="264"/>
      <c r="B179" s="120">
        <v>3</v>
      </c>
      <c r="C179" s="120">
        <f>PRODUCT(A178:B179)</f>
        <v>26.099999999999998</v>
      </c>
      <c r="D179" s="119" t="s">
        <v>252</v>
      </c>
    </row>
    <row r="180" spans="1:4" ht="15.75" customHeight="1">
      <c r="A180" s="119"/>
      <c r="B180" s="119"/>
      <c r="C180" s="119"/>
      <c r="D180" s="119"/>
    </row>
    <row r="181" spans="1:4" ht="15.75" customHeight="1">
      <c r="A181" s="263">
        <v>1</v>
      </c>
      <c r="B181" s="119">
        <f>3.55*2+4*2</f>
        <v>15.1</v>
      </c>
      <c r="C181" s="119"/>
      <c r="D181" s="119"/>
    </row>
    <row r="182" spans="1:4" ht="15.75" customHeight="1">
      <c r="A182" s="264"/>
      <c r="B182" s="120">
        <v>3</v>
      </c>
      <c r="C182" s="120">
        <f>PRODUCT(A181:B182)</f>
        <v>45.3</v>
      </c>
      <c r="D182" s="119" t="s">
        <v>256</v>
      </c>
    </row>
    <row r="183" spans="1:4" ht="15.75" customHeight="1">
      <c r="A183" s="119"/>
      <c r="B183" s="119"/>
      <c r="C183" s="119"/>
    </row>
    <row r="184" spans="1:4" ht="15.75" customHeight="1">
      <c r="A184" s="263">
        <v>-1</v>
      </c>
      <c r="B184" s="119">
        <v>1.5</v>
      </c>
      <c r="C184" s="119"/>
      <c r="D184" s="119"/>
    </row>
    <row r="185" spans="1:4" ht="15.75" customHeight="1">
      <c r="A185" s="264"/>
      <c r="B185" s="120">
        <v>1.5</v>
      </c>
      <c r="C185" s="120">
        <f>PRODUCT(A184:B185)</f>
        <v>-2.25</v>
      </c>
      <c r="D185" s="119" t="s">
        <v>323</v>
      </c>
    </row>
    <row r="186" spans="1:4" ht="15.75" customHeight="1">
      <c r="A186" s="119"/>
      <c r="B186" s="119"/>
      <c r="C186" s="119"/>
    </row>
    <row r="187" spans="1:4" ht="15.75" customHeight="1">
      <c r="A187" s="263">
        <v>-1</v>
      </c>
      <c r="B187" s="119">
        <v>0.8</v>
      </c>
      <c r="C187" s="119"/>
      <c r="D187" s="119"/>
    </row>
    <row r="188" spans="1:4" ht="15.75" customHeight="1">
      <c r="A188" s="264"/>
      <c r="B188" s="120">
        <v>2.1</v>
      </c>
      <c r="C188" s="120">
        <f>PRODUCT(A187:B188)</f>
        <v>-1.6800000000000002</v>
      </c>
      <c r="D188" s="119" t="s">
        <v>322</v>
      </c>
    </row>
    <row r="189" spans="1:4" ht="15.75" customHeight="1">
      <c r="A189" s="119"/>
      <c r="B189" s="119"/>
      <c r="C189" s="119"/>
      <c r="D189" s="119"/>
    </row>
    <row r="190" spans="1:4" ht="15.75" customHeight="1">
      <c r="A190" s="263">
        <v>1</v>
      </c>
      <c r="B190" s="119">
        <f>1.5*2+2*2</f>
        <v>7</v>
      </c>
      <c r="C190" s="119"/>
      <c r="D190" s="119"/>
    </row>
    <row r="191" spans="1:4" ht="15.75" customHeight="1">
      <c r="A191" s="264"/>
      <c r="B191" s="120">
        <v>1.2</v>
      </c>
      <c r="C191" s="120">
        <f>PRODUCT(A190:B191)</f>
        <v>8.4</v>
      </c>
      <c r="D191" s="119" t="s">
        <v>200</v>
      </c>
    </row>
    <row r="192" spans="1:4" ht="15.75" customHeight="1">
      <c r="A192" s="119"/>
      <c r="B192" s="119"/>
      <c r="C192" s="119"/>
    </row>
    <row r="193" spans="1:4" ht="15.75" customHeight="1">
      <c r="A193" s="263">
        <v>-1</v>
      </c>
      <c r="B193" s="119">
        <v>1.5</v>
      </c>
      <c r="C193" s="119"/>
      <c r="D193" s="119"/>
    </row>
    <row r="194" spans="1:4" ht="15.75" customHeight="1">
      <c r="A194" s="264"/>
      <c r="B194" s="120">
        <v>1.2</v>
      </c>
      <c r="C194" s="120">
        <f>PRODUCT(A193:B194)</f>
        <v>-1.7999999999999998</v>
      </c>
      <c r="D194" s="119" t="s">
        <v>323</v>
      </c>
    </row>
    <row r="195" spans="1:4" ht="15.75" customHeight="1">
      <c r="A195" s="119"/>
      <c r="B195" s="119"/>
      <c r="C195" s="119"/>
    </row>
    <row r="196" spans="1:4" ht="15.75" customHeight="1">
      <c r="A196" s="263">
        <v>-1</v>
      </c>
      <c r="B196" s="119">
        <v>0.7</v>
      </c>
      <c r="C196" s="119"/>
      <c r="D196" s="119"/>
    </row>
    <row r="197" spans="1:4" ht="15.75" customHeight="1">
      <c r="A197" s="264"/>
      <c r="B197" s="120">
        <v>0.3</v>
      </c>
      <c r="C197" s="120">
        <f>PRODUCT(A196:B197)</f>
        <v>-0.21</v>
      </c>
      <c r="D197" s="119" t="s">
        <v>322</v>
      </c>
    </row>
    <row r="198" spans="1:4" ht="15.75" customHeight="1">
      <c r="A198" s="119"/>
      <c r="B198" s="119"/>
      <c r="C198" s="119"/>
      <c r="D198" s="119"/>
    </row>
    <row r="199" spans="1:4" ht="15.75" customHeight="1">
      <c r="A199" s="263">
        <v>1</v>
      </c>
      <c r="B199" s="119">
        <f>1.85*2+1.5*2</f>
        <v>6.7</v>
      </c>
      <c r="C199" s="119"/>
      <c r="D199" s="119"/>
    </row>
    <row r="200" spans="1:4" ht="15.75" customHeight="1">
      <c r="A200" s="264"/>
      <c r="B200" s="120">
        <v>3</v>
      </c>
      <c r="C200" s="120">
        <f>PRODUCT(A199:B200)</f>
        <v>20.100000000000001</v>
      </c>
      <c r="D200" s="119" t="s">
        <v>325</v>
      </c>
    </row>
    <row r="201" spans="1:4" ht="15.75" customHeight="1">
      <c r="A201" s="119"/>
      <c r="B201" s="119"/>
      <c r="C201" s="119"/>
    </row>
    <row r="202" spans="1:4" ht="15.75" customHeight="1">
      <c r="A202" s="263">
        <v>-1</v>
      </c>
      <c r="B202" s="119">
        <v>0.8</v>
      </c>
      <c r="C202" s="119"/>
      <c r="D202" s="119"/>
    </row>
    <row r="203" spans="1:4" ht="15.75" customHeight="1">
      <c r="A203" s="264"/>
      <c r="B203" s="120">
        <v>2.1</v>
      </c>
      <c r="C203" s="120">
        <f>PRODUCT(A202:B203)</f>
        <v>-1.6800000000000002</v>
      </c>
      <c r="D203" s="119" t="s">
        <v>322</v>
      </c>
    </row>
    <row r="204" spans="1:4" ht="15.75" customHeight="1">
      <c r="A204" s="119"/>
      <c r="B204" s="119"/>
      <c r="C204" s="119"/>
      <c r="D204" s="119"/>
    </row>
    <row r="205" spans="1:4" ht="15.75" customHeight="1">
      <c r="A205" s="263">
        <v>1</v>
      </c>
      <c r="B205" s="119">
        <f>1.6*2+4*2</f>
        <v>11.2</v>
      </c>
      <c r="C205" s="119"/>
      <c r="D205" s="119"/>
    </row>
    <row r="206" spans="1:4" ht="15.75" customHeight="1">
      <c r="A206" s="264"/>
      <c r="B206" s="120">
        <v>3</v>
      </c>
      <c r="C206" s="120">
        <f>PRODUCT(A205:B206)</f>
        <v>33.599999999999994</v>
      </c>
      <c r="D206" s="119" t="s">
        <v>326</v>
      </c>
    </row>
    <row r="207" spans="1:4" ht="15.75" customHeight="1">
      <c r="A207" s="119"/>
      <c r="B207" s="119"/>
      <c r="C207" s="119"/>
    </row>
    <row r="208" spans="1:4" ht="15.75" customHeight="1">
      <c r="A208" s="263">
        <v>-1</v>
      </c>
      <c r="B208" s="119">
        <v>0.8</v>
      </c>
      <c r="C208" s="119"/>
      <c r="D208" s="119"/>
    </row>
    <row r="209" spans="1:4" ht="15.75" customHeight="1">
      <c r="A209" s="264"/>
      <c r="B209" s="120">
        <v>2.1</v>
      </c>
      <c r="C209" s="120">
        <f>PRODUCT(A208:B209)</f>
        <v>-1.6800000000000002</v>
      </c>
      <c r="D209" s="119" t="s">
        <v>322</v>
      </c>
    </row>
    <row r="210" spans="1:4" ht="15.75" customHeight="1">
      <c r="A210" s="119"/>
      <c r="B210" s="119"/>
      <c r="C210" s="119"/>
    </row>
    <row r="211" spans="1:4" ht="15.75" customHeight="1">
      <c r="A211" s="263">
        <v>-1</v>
      </c>
      <c r="B211" s="119">
        <v>1.5</v>
      </c>
      <c r="C211" s="119"/>
      <c r="D211" s="119"/>
    </row>
    <row r="212" spans="1:4" ht="15.75" customHeight="1">
      <c r="A212" s="264"/>
      <c r="B212" s="120">
        <v>1.5</v>
      </c>
      <c r="C212" s="120">
        <f>PRODUCT(A211:B212)</f>
        <v>-2.25</v>
      </c>
      <c r="D212" s="119" t="s">
        <v>323</v>
      </c>
    </row>
    <row r="213" spans="1:4" ht="15.75" customHeight="1">
      <c r="A213" s="119"/>
      <c r="B213" s="119"/>
      <c r="C213" s="119"/>
      <c r="D213" s="119"/>
    </row>
    <row r="214" spans="1:4" ht="15.75" customHeight="1">
      <c r="A214" s="263">
        <v>1</v>
      </c>
      <c r="B214" s="119">
        <f>3.25*2+4*2</f>
        <v>14.5</v>
      </c>
      <c r="C214" s="119"/>
      <c r="D214" s="119"/>
    </row>
    <row r="215" spans="1:4" ht="15.75" customHeight="1">
      <c r="A215" s="264"/>
      <c r="B215" s="120">
        <v>3</v>
      </c>
      <c r="C215" s="120">
        <f>PRODUCT(A214:B215)</f>
        <v>43.5</v>
      </c>
      <c r="D215" s="119" t="s">
        <v>327</v>
      </c>
    </row>
    <row r="216" spans="1:4" ht="15.75" customHeight="1">
      <c r="A216" s="119"/>
      <c r="B216" s="119"/>
      <c r="C216" s="119"/>
    </row>
    <row r="217" spans="1:4" ht="15.75" customHeight="1">
      <c r="A217" s="263">
        <v>-1</v>
      </c>
      <c r="B217" s="119">
        <v>2</v>
      </c>
      <c r="C217" s="119"/>
      <c r="D217" s="119"/>
    </row>
    <row r="218" spans="1:4" ht="15.75" customHeight="1">
      <c r="A218" s="264"/>
      <c r="B218" s="120">
        <v>2</v>
      </c>
      <c r="C218" s="120">
        <f>PRODUCT(A217:B218)</f>
        <v>-4</v>
      </c>
      <c r="D218" s="119" t="s">
        <v>323</v>
      </c>
    </row>
    <row r="219" spans="1:4" ht="15.75" customHeight="1">
      <c r="A219" s="119"/>
      <c r="B219" s="119"/>
      <c r="C219" s="119"/>
    </row>
    <row r="220" spans="1:4" ht="15.75" customHeight="1">
      <c r="A220" s="263">
        <v>-1</v>
      </c>
      <c r="B220" s="119">
        <v>1.2</v>
      </c>
      <c r="C220" s="119"/>
      <c r="D220" s="119"/>
    </row>
    <row r="221" spans="1:4" ht="15.75" customHeight="1">
      <c r="A221" s="264"/>
      <c r="B221" s="120">
        <v>2.1</v>
      </c>
      <c r="C221" s="120">
        <f>PRODUCT(A220:B221)</f>
        <v>-2.52</v>
      </c>
      <c r="D221" s="119" t="s">
        <v>322</v>
      </c>
    </row>
    <row r="222" spans="1:4" ht="15.75" customHeight="1">
      <c r="A222" s="119"/>
      <c r="B222" s="119"/>
      <c r="C222" s="119"/>
      <c r="D222" s="119"/>
    </row>
    <row r="223" spans="1:4" ht="15.75" customHeight="1">
      <c r="A223" s="263">
        <v>1</v>
      </c>
      <c r="B223" s="119">
        <f>1.5*2+1.75*2</f>
        <v>6.5</v>
      </c>
      <c r="C223" s="119"/>
      <c r="D223" s="119"/>
    </row>
    <row r="224" spans="1:4" ht="15.75" customHeight="1">
      <c r="A224" s="264"/>
      <c r="B224" s="120">
        <v>3</v>
      </c>
      <c r="C224" s="120">
        <f>PRODUCT(A223:B224)</f>
        <v>19.5</v>
      </c>
      <c r="D224" s="119" t="s">
        <v>328</v>
      </c>
    </row>
    <row r="225" spans="1:4" ht="15.75" customHeight="1">
      <c r="A225" s="119"/>
      <c r="B225" s="119"/>
      <c r="C225" s="119"/>
    </row>
    <row r="226" spans="1:4" ht="15.75" customHeight="1">
      <c r="A226" s="263">
        <v>-1</v>
      </c>
      <c r="B226" s="119">
        <v>0.7</v>
      </c>
      <c r="C226" s="119"/>
      <c r="D226" s="119"/>
    </row>
    <row r="227" spans="1:4" ht="15.75" customHeight="1" thickBot="1">
      <c r="A227" s="264"/>
      <c r="B227" s="120">
        <v>2.1</v>
      </c>
      <c r="C227" s="119">
        <f>PRODUCT(A226:B227)</f>
        <v>-1.47</v>
      </c>
      <c r="D227" s="119" t="s">
        <v>322</v>
      </c>
    </row>
    <row r="228" spans="1:4" ht="15.75" customHeight="1" thickBot="1">
      <c r="A228" s="125"/>
      <c r="B228" s="217"/>
      <c r="C228" s="219">
        <f>SUM(C109:C227)</f>
        <v>465.91</v>
      </c>
      <c r="D228" s="218" t="s">
        <v>234</v>
      </c>
    </row>
    <row r="229" spans="1:4" ht="15.75" customHeight="1" thickTop="1">
      <c r="A229" s="119"/>
      <c r="B229" s="119"/>
      <c r="C229" s="179"/>
      <c r="D229" s="119"/>
    </row>
    <row r="230" spans="1:4" ht="15.75" customHeight="1">
      <c r="A230" s="119"/>
      <c r="B230" s="119"/>
      <c r="C230" s="119"/>
      <c r="D230" s="122" t="s">
        <v>316</v>
      </c>
    </row>
    <row r="231" spans="1:4" ht="15.75" customHeight="1">
      <c r="A231" s="119"/>
      <c r="B231" s="119"/>
      <c r="C231" s="119"/>
      <c r="D231" s="127" t="s">
        <v>334</v>
      </c>
    </row>
    <row r="232" spans="1:4" ht="15.75" customHeight="1">
      <c r="A232" s="119"/>
      <c r="B232" s="119"/>
      <c r="C232" s="119"/>
      <c r="D232" s="119"/>
    </row>
    <row r="233" spans="1:4" ht="15.75" customHeight="1">
      <c r="A233" s="263">
        <v>1</v>
      </c>
      <c r="B233" s="119">
        <v>18.25</v>
      </c>
      <c r="C233" s="119"/>
      <c r="D233" s="119"/>
    </row>
    <row r="234" spans="1:4" ht="15.75" customHeight="1">
      <c r="A234" s="264"/>
      <c r="B234" s="120">
        <v>2.95</v>
      </c>
      <c r="C234" s="120">
        <f>PRODUCT(A233:B234)</f>
        <v>53.837500000000006</v>
      </c>
      <c r="D234" s="119" t="s">
        <v>330</v>
      </c>
    </row>
    <row r="235" spans="1:4" ht="15.75" customHeight="1">
      <c r="A235" s="119"/>
      <c r="B235" s="119"/>
      <c r="C235" s="119"/>
      <c r="D235" s="119"/>
    </row>
    <row r="236" spans="1:4" ht="15.75" customHeight="1">
      <c r="A236" s="263">
        <v>1</v>
      </c>
      <c r="B236" s="119">
        <v>6.3</v>
      </c>
      <c r="C236" s="119"/>
      <c r="D236" s="119"/>
    </row>
    <row r="237" spans="1:4" ht="15.75" customHeight="1">
      <c r="A237" s="264"/>
      <c r="B237" s="120">
        <v>6.75</v>
      </c>
      <c r="C237" s="120">
        <f>PRODUCT(A236:B237)</f>
        <v>42.524999999999999</v>
      </c>
      <c r="D237" s="119" t="s">
        <v>321</v>
      </c>
    </row>
    <row r="238" spans="1:4" ht="15.75" customHeight="1">
      <c r="A238" s="119"/>
      <c r="B238" s="119"/>
      <c r="C238" s="119"/>
      <c r="D238" s="119"/>
    </row>
    <row r="239" spans="1:4" ht="15.75" customHeight="1">
      <c r="A239" s="263">
        <v>1</v>
      </c>
      <c r="B239" s="119">
        <v>6.3</v>
      </c>
      <c r="C239" s="119"/>
      <c r="D239" s="119"/>
    </row>
    <row r="240" spans="1:4" ht="15.75" customHeight="1">
      <c r="A240" s="264"/>
      <c r="B240" s="120">
        <v>6.75</v>
      </c>
      <c r="C240" s="120">
        <f>PRODUCT(A239:B240)</f>
        <v>42.524999999999999</v>
      </c>
      <c r="D240" s="119" t="s">
        <v>198</v>
      </c>
    </row>
    <row r="241" spans="1:4" ht="15.75" customHeight="1">
      <c r="A241" s="119"/>
      <c r="B241" s="119"/>
      <c r="C241" s="119"/>
      <c r="D241" s="119"/>
    </row>
    <row r="242" spans="1:4" ht="15.75" customHeight="1">
      <c r="A242" s="263">
        <v>1</v>
      </c>
      <c r="B242" s="119">
        <v>6.3</v>
      </c>
      <c r="C242" s="119"/>
      <c r="D242" s="119"/>
    </row>
    <row r="243" spans="1:4" ht="15.75" customHeight="1">
      <c r="A243" s="264"/>
      <c r="B243" s="120">
        <v>3.25</v>
      </c>
      <c r="C243" s="120">
        <f>PRODUCT(A242:B243)</f>
        <v>20.474999999999998</v>
      </c>
      <c r="D243" s="119" t="s">
        <v>199</v>
      </c>
    </row>
    <row r="244" spans="1:4" ht="15.75" customHeight="1">
      <c r="A244" s="119"/>
      <c r="B244" s="119"/>
      <c r="C244" s="119"/>
      <c r="D244" s="119"/>
    </row>
    <row r="245" spans="1:4" ht="15.75" customHeight="1">
      <c r="A245" s="263">
        <v>1</v>
      </c>
      <c r="B245" s="119">
        <v>4</v>
      </c>
      <c r="C245" s="119"/>
      <c r="D245" s="119"/>
    </row>
    <row r="246" spans="1:4" ht="15.75" customHeight="1">
      <c r="A246" s="264"/>
      <c r="B246" s="120">
        <v>2</v>
      </c>
      <c r="C246" s="120">
        <f>PRODUCT(A245:B246)</f>
        <v>8</v>
      </c>
      <c r="D246" s="119" t="s">
        <v>197</v>
      </c>
    </row>
    <row r="247" spans="1:4" ht="15.75" customHeight="1">
      <c r="A247" s="119"/>
      <c r="B247" s="119"/>
      <c r="C247" s="119"/>
      <c r="D247" s="119"/>
    </row>
    <row r="248" spans="1:4" ht="15.75" customHeight="1">
      <c r="A248" s="263">
        <v>1</v>
      </c>
      <c r="B248" s="119">
        <v>1</v>
      </c>
      <c r="C248" s="119"/>
      <c r="D248" s="119"/>
    </row>
    <row r="249" spans="1:4" ht="15.75" customHeight="1">
      <c r="A249" s="264"/>
      <c r="B249" s="120">
        <v>3.25</v>
      </c>
      <c r="C249" s="120">
        <f>PRODUCT(A248:B249)</f>
        <v>3.25</v>
      </c>
      <c r="D249" s="119" t="s">
        <v>252</v>
      </c>
    </row>
    <row r="250" spans="1:4" ht="15.75" customHeight="1">
      <c r="A250" s="119"/>
      <c r="B250" s="119"/>
      <c r="C250" s="119"/>
      <c r="D250" s="119"/>
    </row>
    <row r="251" spans="1:4" ht="15.75" customHeight="1">
      <c r="A251" s="263">
        <v>1</v>
      </c>
      <c r="B251" s="119">
        <v>3.55</v>
      </c>
      <c r="C251" s="119"/>
      <c r="D251" s="119"/>
    </row>
    <row r="252" spans="1:4" ht="15.75" customHeight="1">
      <c r="A252" s="264"/>
      <c r="B252" s="120">
        <v>4</v>
      </c>
      <c r="C252" s="120">
        <f>PRODUCT(A251:B252)</f>
        <v>14.2</v>
      </c>
      <c r="D252" s="119" t="s">
        <v>256</v>
      </c>
    </row>
    <row r="253" spans="1:4" ht="15.75" customHeight="1">
      <c r="A253" s="119"/>
      <c r="B253" s="119"/>
      <c r="C253" s="119"/>
      <c r="D253" s="119"/>
    </row>
    <row r="254" spans="1:4" ht="15.75" customHeight="1">
      <c r="A254" s="263">
        <v>1</v>
      </c>
      <c r="B254" s="119">
        <v>1.85</v>
      </c>
      <c r="C254" s="119"/>
      <c r="D254" s="119"/>
    </row>
    <row r="255" spans="1:4" ht="15.75" customHeight="1">
      <c r="A255" s="264"/>
      <c r="B255" s="120">
        <v>1.5</v>
      </c>
      <c r="C255" s="120">
        <f>PRODUCT(A254:B255)</f>
        <v>2.7750000000000004</v>
      </c>
      <c r="D255" s="119" t="s">
        <v>337</v>
      </c>
    </row>
    <row r="256" spans="1:4" ht="15.75" customHeight="1">
      <c r="A256" s="119"/>
      <c r="B256" s="119"/>
      <c r="C256" s="119"/>
      <c r="D256" s="119"/>
    </row>
    <row r="257" spans="1:4" ht="15.75" customHeight="1">
      <c r="A257" s="263">
        <v>1</v>
      </c>
      <c r="B257" s="119">
        <v>1.6</v>
      </c>
      <c r="C257" s="119"/>
      <c r="D257" s="119"/>
    </row>
    <row r="258" spans="1:4" ht="15.75" customHeight="1">
      <c r="A258" s="264"/>
      <c r="B258" s="120">
        <v>4</v>
      </c>
      <c r="C258" s="120">
        <f>PRODUCT(A257:B258)</f>
        <v>6.4</v>
      </c>
      <c r="D258" s="119" t="s">
        <v>326</v>
      </c>
    </row>
    <row r="259" spans="1:4" ht="15.75" customHeight="1">
      <c r="A259" s="119"/>
      <c r="B259" s="119"/>
      <c r="C259" s="119"/>
      <c r="D259" s="119"/>
    </row>
    <row r="260" spans="1:4" ht="15.75" customHeight="1">
      <c r="A260" s="263">
        <v>1</v>
      </c>
      <c r="B260" s="119">
        <v>3.25</v>
      </c>
      <c r="C260" s="119"/>
      <c r="D260" s="119"/>
    </row>
    <row r="261" spans="1:4" ht="15.75" customHeight="1" thickBot="1">
      <c r="A261" s="264"/>
      <c r="B261" s="120">
        <v>4</v>
      </c>
      <c r="C261" s="120">
        <f>PRODUCT(A260:B261)-2.6</f>
        <v>10.4</v>
      </c>
      <c r="D261" s="119" t="s">
        <v>327</v>
      </c>
    </row>
    <row r="262" spans="1:4" ht="21.75" customHeight="1" thickTop="1" thickBot="1">
      <c r="A262" s="119"/>
      <c r="B262" s="119"/>
      <c r="C262" s="130">
        <f>SUM(C234:C261)</f>
        <v>204.38750000000002</v>
      </c>
      <c r="D262" s="119"/>
    </row>
    <row r="263" spans="1:4" ht="21.75" customHeight="1" thickTop="1">
      <c r="A263" s="119"/>
      <c r="B263" s="119"/>
      <c r="C263" s="118"/>
      <c r="D263" s="119"/>
    </row>
    <row r="264" spans="1:4" ht="15.75" customHeight="1">
      <c r="A264" s="119"/>
      <c r="B264" s="119"/>
      <c r="C264" s="119"/>
      <c r="D264" s="127" t="s">
        <v>338</v>
      </c>
    </row>
    <row r="265" spans="1:4" ht="15.75" customHeight="1">
      <c r="A265" s="119"/>
      <c r="B265" s="119"/>
      <c r="C265" s="119"/>
      <c r="D265" s="119"/>
    </row>
    <row r="266" spans="1:4" ht="15.75" customHeight="1">
      <c r="A266" s="263">
        <v>1</v>
      </c>
      <c r="B266" s="119">
        <v>4.55</v>
      </c>
      <c r="C266" s="119"/>
      <c r="D266" s="119"/>
    </row>
    <row r="267" spans="1:4" ht="15.75" customHeight="1">
      <c r="A267" s="264"/>
      <c r="B267" s="120">
        <v>4</v>
      </c>
      <c r="C267" s="120">
        <f>PRODUCT(A266:B267)-3.25</f>
        <v>14.95</v>
      </c>
      <c r="D267" s="119" t="s">
        <v>336</v>
      </c>
    </row>
    <row r="268" spans="1:4" ht="15.75" customHeight="1">
      <c r="A268" s="119"/>
      <c r="B268" s="119"/>
      <c r="C268" s="119"/>
      <c r="D268" s="119"/>
    </row>
    <row r="269" spans="1:4" ht="15.75" customHeight="1">
      <c r="A269" s="263">
        <v>1</v>
      </c>
      <c r="B269" s="119">
        <v>1.5</v>
      </c>
      <c r="C269" s="119"/>
      <c r="D269" s="119"/>
    </row>
    <row r="270" spans="1:4" ht="15.75" customHeight="1">
      <c r="A270" s="264"/>
      <c r="B270" s="120">
        <v>2</v>
      </c>
      <c r="C270" s="120">
        <f>PRODUCT(A269:B270)</f>
        <v>3</v>
      </c>
      <c r="D270" s="119" t="s">
        <v>200</v>
      </c>
    </row>
    <row r="271" spans="1:4" ht="15.75" customHeight="1">
      <c r="A271" s="119"/>
      <c r="B271" s="119"/>
      <c r="C271" s="119"/>
      <c r="D271" s="119"/>
    </row>
    <row r="272" spans="1:4" ht="15.75" customHeight="1">
      <c r="A272" s="263">
        <v>1</v>
      </c>
      <c r="B272" s="119">
        <v>1.5</v>
      </c>
      <c r="C272" s="119"/>
      <c r="D272" s="119"/>
    </row>
    <row r="273" spans="1:4" ht="15.75" customHeight="1" thickBot="1">
      <c r="A273" s="264"/>
      <c r="B273" s="120">
        <v>1.75</v>
      </c>
      <c r="C273" s="120">
        <f>PRODUCT(A272:B273)</f>
        <v>2.625</v>
      </c>
      <c r="D273" s="119" t="s">
        <v>250</v>
      </c>
    </row>
    <row r="274" spans="1:4" ht="21.75" customHeight="1" thickTop="1" thickBot="1">
      <c r="A274" s="119"/>
      <c r="B274" s="119"/>
      <c r="C274" s="130">
        <f>SUM(C265:C273)</f>
        <v>20.574999999999999</v>
      </c>
      <c r="D274" s="119"/>
    </row>
    <row r="275" spans="1:4" ht="15.75" customHeight="1" thickTop="1">
      <c r="A275" s="119"/>
      <c r="B275" s="119"/>
      <c r="C275" s="119"/>
      <c r="D275" s="122" t="s">
        <v>335</v>
      </c>
    </row>
    <row r="276" spans="1:4" ht="15.75" customHeight="1">
      <c r="A276" s="119"/>
      <c r="B276" s="119"/>
      <c r="C276" s="119"/>
      <c r="D276" s="127" t="s">
        <v>331</v>
      </c>
    </row>
    <row r="277" spans="1:4" ht="15.75" customHeight="1">
      <c r="A277" s="119"/>
      <c r="B277" s="119"/>
      <c r="C277" s="119"/>
      <c r="D277" s="119"/>
    </row>
    <row r="278" spans="1:4" ht="15.75" customHeight="1">
      <c r="A278" s="263">
        <v>1</v>
      </c>
      <c r="B278" s="119">
        <f>4.55*2+4*2</f>
        <v>17.100000000000001</v>
      </c>
      <c r="C278" s="119"/>
      <c r="D278" s="119"/>
    </row>
    <row r="279" spans="1:4" ht="15.75" customHeight="1">
      <c r="A279" s="264"/>
      <c r="B279" s="120">
        <v>1.8</v>
      </c>
      <c r="C279" s="120">
        <f>PRODUCT(A278:B279)</f>
        <v>30.780000000000005</v>
      </c>
      <c r="D279" s="118" t="s">
        <v>324</v>
      </c>
    </row>
    <row r="280" spans="1:4" ht="15.75" customHeight="1">
      <c r="A280" s="119"/>
      <c r="B280" s="119"/>
      <c r="C280" s="119"/>
    </row>
    <row r="281" spans="1:4" ht="15.75" customHeight="1">
      <c r="A281" s="263">
        <v>-1</v>
      </c>
      <c r="B281" s="119">
        <v>0.9</v>
      </c>
      <c r="C281" s="119"/>
      <c r="D281" s="119"/>
    </row>
    <row r="282" spans="1:4" ht="15.75" customHeight="1">
      <c r="A282" s="264"/>
      <c r="B282" s="120">
        <v>1.8</v>
      </c>
      <c r="C282" s="120">
        <f>PRODUCT(A281:B282)</f>
        <v>-1.62</v>
      </c>
      <c r="D282" s="119" t="s">
        <v>322</v>
      </c>
    </row>
    <row r="283" spans="1:4" ht="15.75" customHeight="1">
      <c r="A283" s="119"/>
      <c r="B283" s="119"/>
      <c r="C283" s="119"/>
      <c r="D283" s="119"/>
    </row>
    <row r="284" spans="1:4" ht="15.75" customHeight="1">
      <c r="A284" s="263">
        <v>1</v>
      </c>
      <c r="B284" s="119">
        <f>1.5*2+2*2</f>
        <v>7</v>
      </c>
      <c r="C284" s="119"/>
      <c r="D284" s="119"/>
    </row>
    <row r="285" spans="1:4" ht="15.75" customHeight="1">
      <c r="A285" s="264"/>
      <c r="B285" s="120">
        <v>1.8</v>
      </c>
      <c r="C285" s="120">
        <f>PRODUCT(A284:B285)</f>
        <v>12.6</v>
      </c>
      <c r="D285" s="118" t="s">
        <v>200</v>
      </c>
    </row>
    <row r="286" spans="1:4" ht="15.75" customHeight="1">
      <c r="A286" s="119"/>
      <c r="B286" s="119"/>
      <c r="C286" s="119"/>
    </row>
    <row r="287" spans="1:4" ht="15.75" customHeight="1">
      <c r="A287" s="263">
        <v>-1</v>
      </c>
      <c r="B287" s="119">
        <v>1.5</v>
      </c>
      <c r="C287" s="119"/>
      <c r="D287" s="119"/>
    </row>
    <row r="288" spans="1:4" ht="15.75" customHeight="1">
      <c r="A288" s="264"/>
      <c r="B288" s="120">
        <v>0.3</v>
      </c>
      <c r="C288" s="120">
        <f>PRODUCT(A287:B288)</f>
        <v>-0.44999999999999996</v>
      </c>
      <c r="D288" s="119" t="s">
        <v>323</v>
      </c>
    </row>
    <row r="289" spans="1:4" ht="15.75" customHeight="1">
      <c r="A289" s="119"/>
      <c r="B289" s="119"/>
      <c r="C289" s="119"/>
    </row>
    <row r="290" spans="1:4" ht="15.75" customHeight="1">
      <c r="A290" s="263">
        <v>-1</v>
      </c>
      <c r="B290" s="119">
        <v>0.7</v>
      </c>
      <c r="C290" s="119"/>
      <c r="D290" s="119"/>
    </row>
    <row r="291" spans="1:4" ht="15.75" customHeight="1">
      <c r="A291" s="264"/>
      <c r="B291" s="120">
        <v>1.8</v>
      </c>
      <c r="C291" s="120">
        <f>PRODUCT(A290:B291)</f>
        <v>-1.26</v>
      </c>
      <c r="D291" s="119" t="s">
        <v>322</v>
      </c>
    </row>
    <row r="292" spans="1:4" ht="15.75" customHeight="1">
      <c r="A292" s="119"/>
      <c r="B292" s="119"/>
      <c r="C292" s="119"/>
      <c r="D292" s="119"/>
    </row>
    <row r="293" spans="1:4" ht="15.75" customHeight="1">
      <c r="A293" s="263">
        <v>1</v>
      </c>
      <c r="B293" s="119">
        <f>1.5*2+1.75*2</f>
        <v>6.5</v>
      </c>
      <c r="C293" s="119"/>
      <c r="D293" s="119"/>
    </row>
    <row r="294" spans="1:4" ht="15.75" customHeight="1">
      <c r="A294" s="264"/>
      <c r="B294" s="120">
        <v>1.8</v>
      </c>
      <c r="C294" s="120">
        <f>PRODUCT(A293:B294)</f>
        <v>11.700000000000001</v>
      </c>
      <c r="D294" s="119" t="s">
        <v>328</v>
      </c>
    </row>
    <row r="295" spans="1:4" ht="15.75" customHeight="1">
      <c r="A295" s="119"/>
      <c r="B295" s="119"/>
      <c r="C295" s="119"/>
    </row>
    <row r="296" spans="1:4" ht="15.75" customHeight="1">
      <c r="A296" s="263">
        <v>-1</v>
      </c>
      <c r="B296" s="119">
        <v>0.7</v>
      </c>
      <c r="C296" s="119"/>
      <c r="D296" s="119"/>
    </row>
    <row r="297" spans="1:4" ht="15.75" customHeight="1" thickBot="1">
      <c r="A297" s="264"/>
      <c r="B297" s="120">
        <v>1.8</v>
      </c>
      <c r="C297" s="120">
        <f>PRODUCT(A296:B297)</f>
        <v>-1.26</v>
      </c>
      <c r="D297" s="119" t="s">
        <v>322</v>
      </c>
    </row>
    <row r="298" spans="1:4" ht="21.75" customHeight="1" thickTop="1" thickBot="1">
      <c r="A298" s="119"/>
      <c r="B298" s="119"/>
      <c r="C298" s="130">
        <f>SUM(C277:C297)</f>
        <v>50.490000000000009</v>
      </c>
      <c r="D298" s="119"/>
    </row>
    <row r="299" spans="1:4" ht="21.75" customHeight="1" thickTop="1">
      <c r="A299" s="119"/>
      <c r="B299" s="119"/>
      <c r="C299" s="118"/>
      <c r="D299" s="119"/>
    </row>
    <row r="300" spans="1:4" ht="15.75" customHeight="1">
      <c r="A300" s="119"/>
      <c r="B300" s="119"/>
      <c r="C300" s="119"/>
      <c r="D300" s="127" t="s">
        <v>332</v>
      </c>
    </row>
    <row r="301" spans="1:4" ht="15.75" customHeight="1">
      <c r="A301" s="119"/>
      <c r="B301" s="119"/>
      <c r="C301" s="119"/>
      <c r="D301" s="119"/>
    </row>
    <row r="302" spans="1:4" ht="15.75" customHeight="1">
      <c r="A302" s="263">
        <v>1</v>
      </c>
      <c r="B302" s="119">
        <f>6.3*2+6.75*2</f>
        <v>26.1</v>
      </c>
      <c r="C302" s="119"/>
      <c r="D302" s="119"/>
    </row>
    <row r="303" spans="1:4" ht="15.75" customHeight="1">
      <c r="A303" s="264"/>
      <c r="B303" s="120">
        <v>1.8</v>
      </c>
      <c r="C303" s="120">
        <f>PRODUCT(A302:B303)</f>
        <v>46.980000000000004</v>
      </c>
      <c r="D303" s="118" t="s">
        <v>198</v>
      </c>
    </row>
    <row r="304" spans="1:4" ht="15.75" customHeight="1">
      <c r="A304" s="119"/>
      <c r="B304" s="119"/>
      <c r="C304" s="119"/>
    </row>
    <row r="305" spans="1:4" ht="15.75" customHeight="1">
      <c r="A305" s="263">
        <v>-2</v>
      </c>
      <c r="B305" s="119">
        <v>2</v>
      </c>
      <c r="C305" s="119"/>
      <c r="D305" s="119"/>
    </row>
    <row r="306" spans="1:4" ht="15.75" customHeight="1">
      <c r="A306" s="264"/>
      <c r="B306" s="120">
        <v>0.8</v>
      </c>
      <c r="C306" s="120">
        <f>PRODUCT(A305:B306)</f>
        <v>-3.2</v>
      </c>
      <c r="D306" s="119" t="s">
        <v>323</v>
      </c>
    </row>
    <row r="307" spans="1:4" ht="15.75" customHeight="1">
      <c r="A307" s="119"/>
      <c r="B307" s="119"/>
      <c r="C307" s="119"/>
    </row>
    <row r="308" spans="1:4" ht="15.75" customHeight="1">
      <c r="A308" s="263">
        <v>-2</v>
      </c>
      <c r="B308" s="119">
        <v>1.5</v>
      </c>
      <c r="C308" s="119"/>
      <c r="D308" s="119"/>
    </row>
    <row r="309" spans="1:4" ht="15.75" customHeight="1">
      <c r="A309" s="264"/>
      <c r="B309" s="120">
        <v>0.8</v>
      </c>
      <c r="C309" s="120">
        <f>PRODUCT(A308:B309)</f>
        <v>-2.4000000000000004</v>
      </c>
      <c r="D309" s="119" t="s">
        <v>323</v>
      </c>
    </row>
    <row r="310" spans="1:4" ht="15.75" customHeight="1">
      <c r="A310" s="119"/>
      <c r="B310" s="119"/>
      <c r="C310" s="119"/>
    </row>
    <row r="311" spans="1:4" ht="15.75" customHeight="1">
      <c r="A311" s="263">
        <v>-2</v>
      </c>
      <c r="B311" s="119">
        <v>1</v>
      </c>
      <c r="C311" s="119"/>
      <c r="D311" s="119"/>
    </row>
    <row r="312" spans="1:4" ht="15.75" customHeight="1">
      <c r="A312" s="264"/>
      <c r="B312" s="120">
        <v>1.8</v>
      </c>
      <c r="C312" s="120">
        <f>PRODUCT(A311:B312)</f>
        <v>-3.6</v>
      </c>
      <c r="D312" s="119" t="s">
        <v>322</v>
      </c>
    </row>
    <row r="313" spans="1:4" ht="15.75" customHeight="1">
      <c r="A313" s="119"/>
      <c r="B313" s="119"/>
      <c r="C313" s="119"/>
      <c r="D313" s="119"/>
    </row>
    <row r="314" spans="1:4" ht="15.75" customHeight="1">
      <c r="A314" s="263">
        <v>1</v>
      </c>
      <c r="B314" s="119">
        <f>6.3*2+3.25*2</f>
        <v>19.100000000000001</v>
      </c>
      <c r="C314" s="119"/>
      <c r="D314" s="119"/>
    </row>
    <row r="315" spans="1:4" ht="15.75" customHeight="1">
      <c r="A315" s="264"/>
      <c r="B315" s="120">
        <v>1.8</v>
      </c>
      <c r="C315" s="120">
        <f>PRODUCT(A314:B315)</f>
        <v>34.380000000000003</v>
      </c>
      <c r="D315" s="118" t="s">
        <v>199</v>
      </c>
    </row>
    <row r="316" spans="1:4" ht="15.75" customHeight="1">
      <c r="A316" s="119"/>
      <c r="B316" s="119"/>
      <c r="C316" s="119"/>
    </row>
    <row r="317" spans="1:4" ht="15.75" customHeight="1">
      <c r="A317" s="263">
        <v>-1</v>
      </c>
      <c r="B317" s="119">
        <v>2</v>
      </c>
      <c r="C317" s="119"/>
      <c r="D317" s="119"/>
    </row>
    <row r="318" spans="1:4" ht="15.75" customHeight="1">
      <c r="A318" s="264"/>
      <c r="B318" s="120">
        <v>0.8</v>
      </c>
      <c r="C318" s="120">
        <f>PRODUCT(A317:B318)</f>
        <v>-1.6</v>
      </c>
      <c r="D318" s="119" t="s">
        <v>323</v>
      </c>
    </row>
    <row r="319" spans="1:4" ht="15.75" customHeight="1">
      <c r="A319" s="119"/>
      <c r="B319" s="119"/>
      <c r="C319" s="119"/>
    </row>
    <row r="320" spans="1:4" ht="15.75" customHeight="1">
      <c r="A320" s="263">
        <v>-2</v>
      </c>
      <c r="B320" s="119">
        <v>1.5</v>
      </c>
      <c r="C320" s="119"/>
      <c r="D320" s="119"/>
    </row>
    <row r="321" spans="1:4" ht="15.75" customHeight="1">
      <c r="A321" s="264"/>
      <c r="B321" s="120">
        <v>0.8</v>
      </c>
      <c r="C321" s="120">
        <f>PRODUCT(A320:B321)</f>
        <v>-2.4000000000000004</v>
      </c>
      <c r="D321" s="119" t="s">
        <v>323</v>
      </c>
    </row>
    <row r="322" spans="1:4" ht="15.75" customHeight="1">
      <c r="A322" s="119"/>
      <c r="B322" s="119"/>
      <c r="C322" s="119"/>
    </row>
    <row r="323" spans="1:4" ht="15.75" customHeight="1">
      <c r="A323" s="263">
        <v>-2</v>
      </c>
      <c r="B323" s="119">
        <v>1</v>
      </c>
      <c r="C323" s="119"/>
      <c r="D323" s="119"/>
    </row>
    <row r="324" spans="1:4" ht="15.75" customHeight="1">
      <c r="A324" s="264"/>
      <c r="B324" s="120">
        <v>1.8</v>
      </c>
      <c r="C324" s="120">
        <f>PRODUCT(A323:B324)</f>
        <v>-3.6</v>
      </c>
      <c r="D324" s="119" t="s">
        <v>322</v>
      </c>
    </row>
    <row r="325" spans="1:4" ht="15.75" customHeight="1">
      <c r="A325" s="180"/>
      <c r="B325" s="119"/>
      <c r="C325" s="119"/>
      <c r="D325" s="119"/>
    </row>
    <row r="326" spans="1:4" ht="15.75" customHeight="1">
      <c r="A326" s="128">
        <v>2</v>
      </c>
      <c r="B326" s="119">
        <v>1.8</v>
      </c>
      <c r="C326" s="119"/>
      <c r="D326" s="119"/>
    </row>
    <row r="327" spans="1:4" ht="15.75" customHeight="1">
      <c r="A327" s="120"/>
      <c r="B327" s="120">
        <v>18.25</v>
      </c>
      <c r="C327" s="120">
        <f>PRODUCT(A326:B327)</f>
        <v>65.7</v>
      </c>
      <c r="D327" s="118" t="s">
        <v>330</v>
      </c>
    </row>
    <row r="328" spans="1:4" ht="15.75" customHeight="1">
      <c r="A328" s="119"/>
      <c r="B328" s="119"/>
      <c r="C328" s="119"/>
      <c r="D328" s="119" t="s">
        <v>310</v>
      </c>
    </row>
    <row r="329" spans="1:4" ht="15.75" customHeight="1">
      <c r="A329" s="263">
        <v>-3</v>
      </c>
      <c r="B329" s="119">
        <v>1.2</v>
      </c>
      <c r="C329" s="119"/>
      <c r="D329" s="119"/>
    </row>
    <row r="330" spans="1:4" ht="15.75" customHeight="1">
      <c r="A330" s="264"/>
      <c r="B330" s="120">
        <v>1.8</v>
      </c>
      <c r="C330" s="120">
        <f>PRODUCT(A329:B330)</f>
        <v>-6.4799999999999995</v>
      </c>
      <c r="D330" s="119" t="s">
        <v>311</v>
      </c>
    </row>
    <row r="331" spans="1:4" ht="15.75" customHeight="1">
      <c r="A331" s="119"/>
      <c r="B331" s="119"/>
      <c r="C331" s="119"/>
      <c r="D331" s="119"/>
    </row>
    <row r="332" spans="1:4" ht="15.75" customHeight="1">
      <c r="A332" s="263">
        <v>-2</v>
      </c>
      <c r="B332" s="119">
        <v>1</v>
      </c>
      <c r="C332" s="119"/>
      <c r="D332" s="119"/>
    </row>
    <row r="333" spans="1:4" ht="15.75" customHeight="1">
      <c r="A333" s="264"/>
      <c r="B333" s="120">
        <v>1.8</v>
      </c>
      <c r="C333" s="120">
        <f>PRODUCT(A332:B333)</f>
        <v>-3.6</v>
      </c>
      <c r="D333" s="119" t="s">
        <v>318</v>
      </c>
    </row>
    <row r="334" spans="1:4" ht="15.75" customHeight="1">
      <c r="A334" s="119"/>
      <c r="B334" s="119"/>
      <c r="C334" s="119"/>
      <c r="D334" s="119"/>
    </row>
    <row r="335" spans="1:4" ht="15.75" customHeight="1">
      <c r="A335" s="263">
        <v>-1</v>
      </c>
      <c r="B335" s="119">
        <v>0.9</v>
      </c>
      <c r="C335" s="119"/>
      <c r="D335" s="119"/>
    </row>
    <row r="336" spans="1:4" ht="15.75" customHeight="1">
      <c r="A336" s="264"/>
      <c r="B336" s="120">
        <v>1.8</v>
      </c>
      <c r="C336" s="120">
        <f>PRODUCT(A335:B336)</f>
        <v>-1.62</v>
      </c>
      <c r="D336" s="119" t="s">
        <v>319</v>
      </c>
    </row>
    <row r="337" spans="1:4" ht="15.75" customHeight="1">
      <c r="A337" s="119"/>
      <c r="B337" s="119"/>
      <c r="C337" s="119"/>
      <c r="D337" s="119"/>
    </row>
    <row r="338" spans="1:4" ht="15.75" customHeight="1">
      <c r="A338" s="263">
        <v>-4</v>
      </c>
      <c r="B338" s="119">
        <v>0.8</v>
      </c>
      <c r="C338" s="119"/>
      <c r="D338" s="119"/>
    </row>
    <row r="339" spans="1:4" ht="15.75" customHeight="1" thickBot="1">
      <c r="A339" s="264"/>
      <c r="B339" s="120">
        <v>1.8</v>
      </c>
      <c r="C339" s="120">
        <f>PRODUCT(A338:B339)</f>
        <v>-5.7600000000000007</v>
      </c>
      <c r="D339" s="119" t="s">
        <v>320</v>
      </c>
    </row>
    <row r="340" spans="1:4" ht="21.75" customHeight="1" thickTop="1" thickBot="1">
      <c r="A340" s="119"/>
      <c r="B340" s="119"/>
      <c r="C340" s="130">
        <f>SUM(C301:C339)</f>
        <v>112.79999999999998</v>
      </c>
      <c r="D340" s="119"/>
    </row>
    <row r="341" spans="1:4" ht="15.75" customHeight="1" thickTop="1">
      <c r="A341" s="119"/>
      <c r="B341" s="119"/>
      <c r="C341" s="118"/>
      <c r="D341" s="119"/>
    </row>
    <row r="342" spans="1:4" ht="15.75" customHeight="1">
      <c r="A342" s="119"/>
      <c r="B342" s="119"/>
      <c r="C342" s="119"/>
      <c r="D342" s="118" t="s">
        <v>237</v>
      </c>
    </row>
    <row r="343" spans="1:4" ht="15.75" customHeight="1">
      <c r="A343" s="119"/>
      <c r="B343" s="119"/>
      <c r="C343" s="119">
        <f>2*(6.3+6.75)-1.2</f>
        <v>24.900000000000002</v>
      </c>
      <c r="D343" s="119" t="s">
        <v>321</v>
      </c>
    </row>
    <row r="344" spans="1:4" ht="15.75" customHeight="1">
      <c r="A344" s="119"/>
      <c r="B344" s="119"/>
      <c r="C344" s="119">
        <f>2*(6.3+6.75)-1</f>
        <v>25.1</v>
      </c>
      <c r="D344" s="119" t="s">
        <v>198</v>
      </c>
    </row>
    <row r="345" spans="1:4" ht="15.75" customHeight="1">
      <c r="A345" s="119"/>
      <c r="B345" s="119"/>
      <c r="C345" s="119">
        <f>2*(6.3+3.25)-1</f>
        <v>18.100000000000001</v>
      </c>
      <c r="D345" s="119" t="s">
        <v>199</v>
      </c>
    </row>
    <row r="346" spans="1:4" ht="15.75" customHeight="1">
      <c r="A346" s="119"/>
      <c r="B346" s="119"/>
      <c r="C346" s="119">
        <f>2*(4+2)-1.2</f>
        <v>10.8</v>
      </c>
      <c r="D346" s="119" t="s">
        <v>343</v>
      </c>
    </row>
    <row r="347" spans="1:4" ht="15.75" customHeight="1">
      <c r="A347" s="119"/>
      <c r="B347" s="119"/>
      <c r="C347" s="119">
        <f>2*(1+3.25)-0.8</f>
        <v>7.7</v>
      </c>
      <c r="D347" s="119" t="s">
        <v>252</v>
      </c>
    </row>
    <row r="348" spans="1:4" ht="15.75" customHeight="1">
      <c r="A348" s="119"/>
      <c r="B348" s="119"/>
      <c r="C348" s="119">
        <f>2*(3.55+4)-0.8</f>
        <v>14.299999999999999</v>
      </c>
      <c r="D348" s="119" t="s">
        <v>256</v>
      </c>
    </row>
    <row r="349" spans="1:4" ht="15.75" customHeight="1">
      <c r="A349" s="119"/>
      <c r="B349" s="119"/>
      <c r="C349" s="119">
        <f>2*(1.85+1.5)-0.8</f>
        <v>5.9</v>
      </c>
      <c r="D349" s="119" t="s">
        <v>337</v>
      </c>
    </row>
    <row r="350" spans="1:4" ht="15.75" customHeight="1">
      <c r="A350" s="119"/>
      <c r="B350" s="119"/>
      <c r="C350" s="119">
        <f>2*(1.6+4)-0.8</f>
        <v>10.399999999999999</v>
      </c>
      <c r="D350" s="119" t="s">
        <v>326</v>
      </c>
    </row>
    <row r="351" spans="1:4" ht="15.75" customHeight="1">
      <c r="A351" s="119"/>
      <c r="B351" s="119"/>
      <c r="C351" s="119">
        <f>2*(4+3.25)-1.2+3.5</f>
        <v>16.8</v>
      </c>
      <c r="D351" s="119" t="s">
        <v>327</v>
      </c>
    </row>
    <row r="352" spans="1:4" ht="15.75" customHeight="1">
      <c r="A352" s="119"/>
      <c r="B352" s="119"/>
      <c r="C352" s="119">
        <f>2*(4.55+4)-0.9+4.25</f>
        <v>20.450000000000003</v>
      </c>
      <c r="D352" s="119" t="s">
        <v>324</v>
      </c>
    </row>
    <row r="353" spans="1:4" ht="15.75" customHeight="1">
      <c r="A353" s="119"/>
      <c r="B353" s="119"/>
      <c r="C353" s="119">
        <f>2*(1.5+2)-0.7</f>
        <v>6.3</v>
      </c>
      <c r="D353" s="119" t="s">
        <v>200</v>
      </c>
    </row>
    <row r="354" spans="1:4" ht="15.75" customHeight="1">
      <c r="A354" s="119"/>
      <c r="B354" s="119"/>
      <c r="C354" s="119">
        <f>2*(1.5+1.75)-0.7</f>
        <v>5.8</v>
      </c>
      <c r="D354" s="119" t="s">
        <v>250</v>
      </c>
    </row>
    <row r="355" spans="1:4" ht="15.75" customHeight="1">
      <c r="A355" s="119"/>
      <c r="B355" s="119"/>
      <c r="C355" s="119">
        <f>2*18.25-3*1.2-2*1-1*0.9-4*0.8</f>
        <v>26.8</v>
      </c>
      <c r="D355" s="119" t="s">
        <v>330</v>
      </c>
    </row>
    <row r="356" spans="1:4" ht="15.75" customHeight="1">
      <c r="A356" s="119"/>
      <c r="B356" s="120"/>
      <c r="C356" s="120"/>
      <c r="D356" s="119"/>
    </row>
    <row r="357" spans="1:4" ht="15.75" customHeight="1" thickBot="1">
      <c r="A357" s="119"/>
      <c r="B357" s="119"/>
      <c r="C357" s="121">
        <f>SUM(C343:C356)</f>
        <v>193.35000000000002</v>
      </c>
      <c r="D357" s="119"/>
    </row>
    <row r="358" spans="1:4" ht="15.75" customHeight="1" thickTop="1">
      <c r="A358" s="119"/>
      <c r="B358" s="119"/>
      <c r="C358" s="118"/>
      <c r="D358" s="119"/>
    </row>
    <row r="359" spans="1:4" ht="15.75" customHeight="1">
      <c r="A359" s="119"/>
      <c r="B359" s="119"/>
      <c r="C359" s="119"/>
      <c r="D359" s="118" t="s">
        <v>238</v>
      </c>
    </row>
    <row r="360" spans="1:4" ht="15.75" customHeight="1">
      <c r="A360" s="119"/>
      <c r="B360" s="119"/>
      <c r="C360" s="119"/>
      <c r="D360" s="119" t="s">
        <v>313</v>
      </c>
    </row>
    <row r="361" spans="1:4" ht="15.75" customHeight="1">
      <c r="A361" s="119">
        <v>5</v>
      </c>
      <c r="B361" s="119">
        <v>1.5</v>
      </c>
      <c r="C361" s="119">
        <f t="shared" ref="C361:C362" si="0">A361*B361</f>
        <v>7.5</v>
      </c>
      <c r="D361" s="119"/>
    </row>
    <row r="362" spans="1:4" ht="15.75" customHeight="1">
      <c r="A362" s="119">
        <v>1</v>
      </c>
      <c r="B362" s="119">
        <v>2.4</v>
      </c>
      <c r="C362" s="119">
        <f t="shared" si="0"/>
        <v>2.4</v>
      </c>
      <c r="D362" s="119"/>
    </row>
    <row r="363" spans="1:4" ht="15.75" customHeight="1">
      <c r="A363" s="119"/>
      <c r="B363" s="119"/>
      <c r="C363" s="119"/>
      <c r="D363" s="118" t="s">
        <v>239</v>
      </c>
    </row>
    <row r="364" spans="1:4" ht="15.75" customHeight="1">
      <c r="A364" s="119"/>
      <c r="B364" s="119"/>
      <c r="C364" s="119"/>
      <c r="D364" s="119"/>
    </row>
    <row r="365" spans="1:4" ht="15.75" customHeight="1">
      <c r="A365" s="119">
        <v>3</v>
      </c>
      <c r="B365" s="119">
        <v>1.2</v>
      </c>
      <c r="C365" s="119">
        <f>A365*B365</f>
        <v>3.5999999999999996</v>
      </c>
      <c r="D365" s="119" t="s">
        <v>344</v>
      </c>
    </row>
    <row r="366" spans="1:4" ht="15.75" customHeight="1">
      <c r="A366" s="119">
        <v>2</v>
      </c>
      <c r="B366" s="119">
        <v>1</v>
      </c>
      <c r="C366" s="119">
        <f>A366*B366</f>
        <v>2</v>
      </c>
      <c r="D366" s="119" t="s">
        <v>345</v>
      </c>
    </row>
    <row r="367" spans="1:4" ht="15.75" customHeight="1">
      <c r="A367" s="119">
        <v>1</v>
      </c>
      <c r="B367" s="119">
        <v>0.9</v>
      </c>
      <c r="C367" s="119">
        <f>A367*B367</f>
        <v>0.9</v>
      </c>
      <c r="D367" s="119" t="s">
        <v>346</v>
      </c>
    </row>
    <row r="368" spans="1:4" ht="15.75" customHeight="1">
      <c r="A368" s="119">
        <v>4</v>
      </c>
      <c r="B368" s="119">
        <v>0.8</v>
      </c>
      <c r="C368" s="119">
        <f>A368*B368</f>
        <v>3.2</v>
      </c>
      <c r="D368" s="119" t="s">
        <v>347</v>
      </c>
    </row>
    <row r="369" spans="1:4" ht="15.75" customHeight="1">
      <c r="A369" s="119">
        <v>2</v>
      </c>
      <c r="B369" s="119">
        <v>0.7</v>
      </c>
      <c r="C369" s="119">
        <f>A369*B369</f>
        <v>1.4</v>
      </c>
      <c r="D369" s="119" t="s">
        <v>348</v>
      </c>
    </row>
    <row r="370" spans="1:4" ht="15.75" customHeight="1" thickBot="1">
      <c r="A370" s="119"/>
      <c r="B370" s="119"/>
      <c r="C370" s="126">
        <f>SUM(C360:C369)</f>
        <v>20.999999999999996</v>
      </c>
      <c r="D370" s="119" t="s">
        <v>240</v>
      </c>
    </row>
    <row r="371" spans="1:4" ht="15.75" customHeight="1" thickTop="1">
      <c r="A371" s="119"/>
      <c r="B371" s="119"/>
      <c r="C371" s="119"/>
      <c r="D371" s="119"/>
    </row>
    <row r="372" spans="1:4" ht="15.75" customHeight="1">
      <c r="A372" s="119"/>
      <c r="B372" s="119"/>
      <c r="C372" s="119"/>
      <c r="D372" s="119"/>
    </row>
    <row r="373" spans="1:4" ht="15.75" customHeight="1">
      <c r="A373" s="119"/>
      <c r="B373" s="119"/>
      <c r="C373" s="119"/>
      <c r="D373" s="119"/>
    </row>
    <row r="374" spans="1:4" ht="15.75" customHeight="1">
      <c r="A374" s="119"/>
      <c r="B374" s="119"/>
      <c r="C374" s="119"/>
      <c r="D374" s="119"/>
    </row>
    <row r="375" spans="1:4" ht="15.75" customHeight="1">
      <c r="A375" s="119"/>
      <c r="B375" s="119"/>
      <c r="C375" s="119"/>
      <c r="D375" s="119"/>
    </row>
    <row r="376" spans="1:4" ht="15.75" customHeight="1">
      <c r="A376" s="119"/>
      <c r="B376" s="119"/>
      <c r="C376" s="119"/>
      <c r="D376" s="119"/>
    </row>
    <row r="377" spans="1:4" ht="15.75" customHeight="1">
      <c r="A377" s="119"/>
      <c r="B377" s="119"/>
      <c r="C377" s="119"/>
      <c r="D377" s="119"/>
    </row>
    <row r="378" spans="1:4" ht="15.75" customHeight="1">
      <c r="A378" s="119"/>
      <c r="B378" s="119"/>
      <c r="C378" s="119"/>
      <c r="D378" s="119"/>
    </row>
    <row r="379" spans="1:4" ht="15.75" customHeight="1">
      <c r="A379" s="119"/>
      <c r="B379" s="119"/>
      <c r="C379" s="119"/>
      <c r="D379" s="119"/>
    </row>
    <row r="380" spans="1:4" ht="15.75" customHeight="1">
      <c r="A380" s="119"/>
      <c r="B380" s="119"/>
      <c r="C380" s="119"/>
      <c r="D380" s="119"/>
    </row>
    <row r="381" spans="1:4" ht="15.75" customHeight="1">
      <c r="A381" s="119"/>
      <c r="B381" s="119"/>
      <c r="C381" s="119"/>
      <c r="D381" s="119"/>
    </row>
    <row r="382" spans="1:4" ht="15.75" customHeight="1">
      <c r="A382" s="119"/>
      <c r="B382" s="119"/>
      <c r="C382" s="119"/>
      <c r="D382" s="119"/>
    </row>
    <row r="383" spans="1:4" ht="15.75" customHeight="1">
      <c r="A383" s="119"/>
      <c r="B383" s="119"/>
      <c r="C383" s="119"/>
      <c r="D383" s="119"/>
    </row>
    <row r="384" spans="1:4" ht="15.75" customHeight="1">
      <c r="A384" s="119"/>
      <c r="B384" s="119"/>
      <c r="C384" s="119"/>
      <c r="D384" s="119"/>
    </row>
    <row r="385" spans="1:4" ht="15.75" customHeight="1">
      <c r="A385" s="119"/>
      <c r="B385" s="119"/>
      <c r="C385" s="119"/>
      <c r="D385" s="119"/>
    </row>
    <row r="386" spans="1:4" ht="15.75" customHeight="1">
      <c r="A386" s="119"/>
      <c r="B386" s="119"/>
      <c r="C386" s="119"/>
      <c r="D386" s="119"/>
    </row>
    <row r="387" spans="1:4" ht="15.75" customHeight="1">
      <c r="A387" s="119"/>
      <c r="B387" s="119"/>
      <c r="C387" s="119"/>
      <c r="D387" s="119"/>
    </row>
    <row r="388" spans="1:4" ht="15.75" customHeight="1">
      <c r="A388" s="119"/>
      <c r="B388" s="119"/>
      <c r="C388" s="119"/>
      <c r="D388" s="119"/>
    </row>
    <row r="389" spans="1:4" ht="15.75" customHeight="1">
      <c r="A389" s="119"/>
      <c r="B389" s="119"/>
      <c r="C389" s="119"/>
      <c r="D389" s="119"/>
    </row>
    <row r="390" spans="1:4" ht="15.75" customHeight="1">
      <c r="A390" s="119"/>
      <c r="B390" s="119"/>
      <c r="C390" s="119"/>
      <c r="D390" s="119"/>
    </row>
    <row r="391" spans="1:4" ht="15.75" customHeight="1">
      <c r="A391" s="119"/>
      <c r="B391" s="119"/>
      <c r="C391" s="119"/>
      <c r="D391" s="119"/>
    </row>
    <row r="392" spans="1:4" ht="15.75" customHeight="1">
      <c r="A392" s="119"/>
      <c r="B392" s="119"/>
      <c r="C392" s="119"/>
      <c r="D392" s="119"/>
    </row>
    <row r="393" spans="1:4" ht="15.75" customHeight="1">
      <c r="A393" s="119"/>
      <c r="B393" s="119"/>
      <c r="C393" s="119"/>
      <c r="D393" s="119"/>
    </row>
    <row r="394" spans="1:4" ht="15.75" customHeight="1">
      <c r="A394" s="119"/>
      <c r="B394" s="119"/>
      <c r="C394" s="119"/>
      <c r="D394" s="119"/>
    </row>
    <row r="395" spans="1:4" ht="15.75" customHeight="1">
      <c r="A395" s="119"/>
      <c r="B395" s="119"/>
      <c r="C395" s="119"/>
      <c r="D395" s="119"/>
    </row>
    <row r="396" spans="1:4" ht="15.75" customHeight="1">
      <c r="A396" s="119"/>
      <c r="B396" s="119"/>
      <c r="C396" s="119"/>
      <c r="D396" s="119"/>
    </row>
    <row r="397" spans="1:4" ht="15.75" customHeight="1">
      <c r="A397" s="119"/>
      <c r="B397" s="119"/>
      <c r="C397" s="119"/>
      <c r="D397" s="119"/>
    </row>
  </sheetData>
  <sheetProtection algorithmName="SHA-512" hashValue="Z+L2efmA6/U0sUEtyfYN9XHc9g2p9GAJsTpuWwpSW2jDY75J5uwLFcVjcmYHJEqXD4HitW+/OI0RAh3rW5D3sg==" saltValue="5PBCiIun4u5gUhLKJv37zw==" spinCount="100000" sheet="1" objects="1" scenarios="1"/>
  <mergeCells count="72">
    <mergeCell ref="A217:A218"/>
    <mergeCell ref="A220:A221"/>
    <mergeCell ref="A223:A224"/>
    <mergeCell ref="A226:A227"/>
    <mergeCell ref="A187:A188"/>
    <mergeCell ref="A190:A191"/>
    <mergeCell ref="A193:A194"/>
    <mergeCell ref="A196:A197"/>
    <mergeCell ref="A199:A200"/>
    <mergeCell ref="A202:A203"/>
    <mergeCell ref="A205:A206"/>
    <mergeCell ref="A208:A209"/>
    <mergeCell ref="A211:A212"/>
    <mergeCell ref="A214:A215"/>
    <mergeCell ref="A157:A158"/>
    <mergeCell ref="A160:A161"/>
    <mergeCell ref="A163:A164"/>
    <mergeCell ref="A166:A167"/>
    <mergeCell ref="A169:A170"/>
    <mergeCell ref="A172:A173"/>
    <mergeCell ref="A175:A176"/>
    <mergeCell ref="A178:A179"/>
    <mergeCell ref="A181:A182"/>
    <mergeCell ref="A184:A185"/>
    <mergeCell ref="A127:A128"/>
    <mergeCell ref="A130:A131"/>
    <mergeCell ref="A133:A134"/>
    <mergeCell ref="A136:A137"/>
    <mergeCell ref="A139:A140"/>
    <mergeCell ref="A142:A143"/>
    <mergeCell ref="A145:A146"/>
    <mergeCell ref="A148:A149"/>
    <mergeCell ref="A151:A152"/>
    <mergeCell ref="A154:A155"/>
    <mergeCell ref="A272:A273"/>
    <mergeCell ref="A245:A246"/>
    <mergeCell ref="A269:A270"/>
    <mergeCell ref="A281:A282"/>
    <mergeCell ref="A254:A255"/>
    <mergeCell ref="A257:A258"/>
    <mergeCell ref="A260:A261"/>
    <mergeCell ref="A332:A333"/>
    <mergeCell ref="A335:A336"/>
    <mergeCell ref="A290:A291"/>
    <mergeCell ref="A284:A285"/>
    <mergeCell ref="A338:A339"/>
    <mergeCell ref="A293:A294"/>
    <mergeCell ref="A296:A297"/>
    <mergeCell ref="A308:A309"/>
    <mergeCell ref="A323:A324"/>
    <mergeCell ref="A287:A288"/>
    <mergeCell ref="A311:A312"/>
    <mergeCell ref="A314:A315"/>
    <mergeCell ref="A317:A318"/>
    <mergeCell ref="A320:A321"/>
    <mergeCell ref="A329:A330"/>
    <mergeCell ref="A233:A234"/>
    <mergeCell ref="A1:D1"/>
    <mergeCell ref="A278:A279"/>
    <mergeCell ref="A302:A303"/>
    <mergeCell ref="A305:A306"/>
    <mergeCell ref="A112:A113"/>
    <mergeCell ref="A115:A116"/>
    <mergeCell ref="A118:A119"/>
    <mergeCell ref="A121:A122"/>
    <mergeCell ref="A124:A125"/>
    <mergeCell ref="A236:A237"/>
    <mergeCell ref="A239:A240"/>
    <mergeCell ref="A242:A243"/>
    <mergeCell ref="A248:A249"/>
    <mergeCell ref="A251:A252"/>
    <mergeCell ref="A266:A267"/>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workbookViewId="0">
      <selection sqref="A1:XFD1048576"/>
    </sheetView>
  </sheetViews>
  <sheetFormatPr defaultColWidth="14.44140625" defaultRowHeight="15" customHeight="1"/>
  <cols>
    <col min="1" max="1" width="7.6640625" customWidth="1"/>
    <col min="2" max="2" width="19.44140625" customWidth="1"/>
    <col min="3" max="3" width="7" customWidth="1"/>
    <col min="4" max="4" width="8.33203125" customWidth="1"/>
    <col min="5" max="5" width="9.44140625" customWidth="1"/>
    <col min="6" max="6" width="9.33203125" customWidth="1"/>
    <col min="7" max="7" width="9.44140625" customWidth="1"/>
    <col min="8" max="8" width="8.6640625" customWidth="1"/>
    <col min="9" max="9" width="10.6640625" customWidth="1"/>
    <col min="10" max="10" width="9.44140625" customWidth="1"/>
    <col min="11" max="11" width="10.44140625" customWidth="1"/>
    <col min="12" max="12" width="9.44140625" customWidth="1"/>
    <col min="13" max="13" width="11" customWidth="1"/>
    <col min="14" max="14" width="11.44140625" customWidth="1"/>
    <col min="15" max="15" width="9.44140625" customWidth="1"/>
    <col min="16" max="16" width="11.44140625" customWidth="1"/>
    <col min="17" max="26" width="8.6640625" customWidth="1"/>
  </cols>
  <sheetData>
    <row r="1" spans="1:26" ht="30" customHeight="1" thickTop="1" thickBot="1">
      <c r="A1" s="132" t="s">
        <v>23</v>
      </c>
      <c r="B1" s="133" t="s">
        <v>150</v>
      </c>
      <c r="C1" s="134" t="s">
        <v>151</v>
      </c>
      <c r="D1" s="134" t="s">
        <v>152</v>
      </c>
      <c r="E1" s="134" t="s">
        <v>153</v>
      </c>
      <c r="F1" s="135" t="s">
        <v>154</v>
      </c>
      <c r="G1" s="135" t="s">
        <v>155</v>
      </c>
      <c r="H1" s="136" t="s">
        <v>156</v>
      </c>
      <c r="I1" s="136" t="s">
        <v>157</v>
      </c>
      <c r="J1" s="136" t="s">
        <v>158</v>
      </c>
      <c r="K1" s="136" t="s">
        <v>159</v>
      </c>
      <c r="L1" s="136" t="s">
        <v>160</v>
      </c>
      <c r="M1" s="136" t="s">
        <v>161</v>
      </c>
      <c r="N1" s="136" t="s">
        <v>162</v>
      </c>
      <c r="O1" s="137" t="s">
        <v>163</v>
      </c>
      <c r="P1" s="138"/>
      <c r="Q1" s="138"/>
      <c r="R1" s="138"/>
      <c r="S1" s="138"/>
      <c r="T1" s="138"/>
      <c r="U1" s="138"/>
      <c r="V1" s="138"/>
      <c r="W1" s="138"/>
      <c r="X1" s="138"/>
      <c r="Y1" s="138"/>
      <c r="Z1" s="138"/>
    </row>
    <row r="2" spans="1:26" ht="19.5" customHeight="1" thickTop="1">
      <c r="A2" s="139"/>
      <c r="B2" s="147" t="s">
        <v>244</v>
      </c>
      <c r="C2" s="141"/>
      <c r="D2" s="142"/>
      <c r="E2" s="142"/>
      <c r="F2" s="143"/>
      <c r="G2" s="142"/>
      <c r="H2" s="144"/>
      <c r="I2" s="143"/>
      <c r="J2" s="143"/>
      <c r="K2" s="143"/>
      <c r="L2" s="143"/>
      <c r="M2" s="143"/>
      <c r="N2" s="143"/>
      <c r="O2" s="145"/>
      <c r="P2" s="146"/>
      <c r="Q2" s="146"/>
      <c r="R2" s="146"/>
      <c r="S2" s="146"/>
      <c r="T2" s="146"/>
      <c r="U2" s="146"/>
      <c r="V2" s="146"/>
      <c r="W2" s="146"/>
      <c r="X2" s="146"/>
      <c r="Y2" s="146"/>
      <c r="Z2" s="146"/>
    </row>
    <row r="3" spans="1:26" ht="14.25" customHeight="1">
      <c r="A3" s="139"/>
      <c r="B3" s="147"/>
      <c r="C3" s="141"/>
      <c r="D3" s="142">
        <v>8</v>
      </c>
      <c r="E3" s="142">
        <v>4</v>
      </c>
      <c r="F3" s="143">
        <f>ROUNDUP(3.5/0.25+1,0)</f>
        <v>15</v>
      </c>
      <c r="G3" s="142">
        <v>1</v>
      </c>
      <c r="H3" s="144" t="str">
        <f t="shared" ref="H3:H4" si="0">IF(D3=6,E3*F3*G3,"")</f>
        <v/>
      </c>
      <c r="I3" s="143">
        <f t="shared" ref="I3:I4" si="1">IF(D3=8,(E3*F3*G3),"")</f>
        <v>60</v>
      </c>
      <c r="J3" s="143" t="str">
        <f t="shared" ref="J3:J4" si="2">IF(D3=10,(E3*F3*G3),"")</f>
        <v/>
      </c>
      <c r="K3" s="143" t="str">
        <f t="shared" ref="K3:K4" si="3">IF(D3=12,(E3*F3*G3),"")</f>
        <v/>
      </c>
      <c r="L3" s="143" t="str">
        <f t="shared" ref="L3:L4" si="4">IF(D3=14,(E3*F3*G3),"")</f>
        <v/>
      </c>
      <c r="M3" s="143" t="str">
        <f t="shared" ref="M3:M4" si="5">IF(D3=16,(E3*F3*G3),"")</f>
        <v/>
      </c>
      <c r="N3" s="143" t="str">
        <f t="shared" ref="N3:N4" si="6">IF(D3=20,(E3*F3*G3),"")</f>
        <v/>
      </c>
      <c r="O3" s="145" t="str">
        <f t="shared" ref="O3:O4" si="7">IF(D3=24,(E3*F3*G3),"")</f>
        <v/>
      </c>
      <c r="P3" s="146"/>
      <c r="Q3" s="146"/>
      <c r="R3" s="146"/>
      <c r="S3" s="146"/>
      <c r="T3" s="146"/>
      <c r="U3" s="146"/>
      <c r="V3" s="146"/>
      <c r="W3" s="146"/>
      <c r="X3" s="146"/>
      <c r="Y3" s="146"/>
      <c r="Z3" s="146"/>
    </row>
    <row r="4" spans="1:26" ht="14.25" customHeight="1">
      <c r="A4" s="139"/>
      <c r="B4" s="147"/>
      <c r="C4" s="140"/>
      <c r="D4" s="142">
        <v>8</v>
      </c>
      <c r="E4" s="142">
        <v>3.5</v>
      </c>
      <c r="F4" s="143">
        <f>ROUNDUP(4/0.25+1,0)</f>
        <v>17</v>
      </c>
      <c r="G4" s="142">
        <v>1</v>
      </c>
      <c r="H4" s="144" t="str">
        <f t="shared" si="0"/>
        <v/>
      </c>
      <c r="I4" s="143">
        <f t="shared" si="1"/>
        <v>59.5</v>
      </c>
      <c r="J4" s="143" t="str">
        <f t="shared" si="2"/>
        <v/>
      </c>
      <c r="K4" s="143" t="str">
        <f t="shared" si="3"/>
        <v/>
      </c>
      <c r="L4" s="143" t="str">
        <f t="shared" si="4"/>
        <v/>
      </c>
      <c r="M4" s="143" t="str">
        <f t="shared" si="5"/>
        <v/>
      </c>
      <c r="N4" s="143" t="str">
        <f t="shared" si="6"/>
        <v/>
      </c>
      <c r="O4" s="145" t="str">
        <f t="shared" si="7"/>
        <v/>
      </c>
      <c r="P4" s="146"/>
      <c r="Q4" s="146"/>
      <c r="R4" s="146"/>
      <c r="S4" s="146"/>
      <c r="T4" s="146"/>
      <c r="U4" s="146"/>
      <c r="V4" s="146"/>
      <c r="W4" s="146"/>
      <c r="X4" s="146"/>
      <c r="Y4" s="146"/>
      <c r="Z4" s="146"/>
    </row>
    <row r="5" spans="1:26" ht="19.5" customHeight="1">
      <c r="A5" s="139"/>
      <c r="B5" s="147" t="s">
        <v>245</v>
      </c>
      <c r="C5" s="141"/>
      <c r="D5" s="142"/>
      <c r="E5" s="142"/>
      <c r="F5" s="143"/>
      <c r="G5" s="142"/>
      <c r="H5" s="144"/>
      <c r="I5" s="143"/>
      <c r="J5" s="143"/>
      <c r="K5" s="143"/>
      <c r="L5" s="143"/>
      <c r="M5" s="143"/>
      <c r="N5" s="143"/>
      <c r="O5" s="145"/>
      <c r="P5" s="146"/>
      <c r="Q5" s="146"/>
      <c r="R5" s="146"/>
      <c r="S5" s="146"/>
      <c r="T5" s="146"/>
      <c r="U5" s="146"/>
      <c r="V5" s="146"/>
      <c r="W5" s="146"/>
      <c r="X5" s="146"/>
      <c r="Y5" s="146"/>
      <c r="Z5" s="146"/>
    </row>
    <row r="6" spans="1:26" ht="14.25" customHeight="1">
      <c r="A6" s="139"/>
      <c r="B6" s="147"/>
      <c r="C6" s="141"/>
      <c r="D6" s="142">
        <v>8</v>
      </c>
      <c r="E6" s="142">
        <v>3</v>
      </c>
      <c r="F6" s="143">
        <f>ROUNDUP(1.5/0.25+1,0)</f>
        <v>7</v>
      </c>
      <c r="G6" s="142">
        <v>1</v>
      </c>
      <c r="H6" s="144" t="str">
        <f t="shared" ref="H6:H7" si="8">IF(D6=6,E6*F6*G6,"")</f>
        <v/>
      </c>
      <c r="I6" s="143">
        <f t="shared" ref="I6:I7" si="9">IF(D6=8,(E6*F6*G6),"")</f>
        <v>21</v>
      </c>
      <c r="J6" s="143" t="str">
        <f t="shared" ref="J6:J7" si="10">IF(D6=10,(E6*F6*G6),"")</f>
        <v/>
      </c>
      <c r="K6" s="143" t="str">
        <f t="shared" ref="K6:K7" si="11">IF(D6=12,(E6*F6*G6),"")</f>
        <v/>
      </c>
      <c r="L6" s="143" t="str">
        <f t="shared" ref="L6:L7" si="12">IF(D6=14,(E6*F6*G6),"")</f>
        <v/>
      </c>
      <c r="M6" s="143" t="str">
        <f t="shared" ref="M6:M7" si="13">IF(D6=16,(E6*F6*G6),"")</f>
        <v/>
      </c>
      <c r="N6" s="143" t="str">
        <f t="shared" ref="N6:N7" si="14">IF(D6=20,(E6*F6*G6),"")</f>
        <v/>
      </c>
      <c r="O6" s="145" t="str">
        <f t="shared" ref="O6:O7" si="15">IF(D6=24,(E6*F6*G6),"")</f>
        <v/>
      </c>
      <c r="P6" s="146"/>
      <c r="Q6" s="146"/>
      <c r="R6" s="146"/>
      <c r="S6" s="146"/>
      <c r="T6" s="146"/>
      <c r="U6" s="146"/>
      <c r="V6" s="146"/>
      <c r="W6" s="146"/>
      <c r="X6" s="146"/>
      <c r="Y6" s="146"/>
      <c r="Z6" s="146"/>
    </row>
    <row r="7" spans="1:26" ht="14.25" customHeight="1">
      <c r="A7" s="139"/>
      <c r="B7" s="147"/>
      <c r="C7" s="140"/>
      <c r="D7" s="142">
        <v>8</v>
      </c>
      <c r="E7" s="142">
        <v>1.5</v>
      </c>
      <c r="F7" s="143">
        <f>ROUNDUP(3/0.25+1,0)</f>
        <v>13</v>
      </c>
      <c r="G7" s="142">
        <v>1</v>
      </c>
      <c r="H7" s="144" t="str">
        <f t="shared" si="8"/>
        <v/>
      </c>
      <c r="I7" s="143">
        <f t="shared" si="9"/>
        <v>19.5</v>
      </c>
      <c r="J7" s="143" t="str">
        <f t="shared" si="10"/>
        <v/>
      </c>
      <c r="K7" s="143" t="str">
        <f t="shared" si="11"/>
        <v/>
      </c>
      <c r="L7" s="143" t="str">
        <f t="shared" si="12"/>
        <v/>
      </c>
      <c r="M7" s="143" t="str">
        <f t="shared" si="13"/>
        <v/>
      </c>
      <c r="N7" s="143" t="str">
        <f t="shared" si="14"/>
        <v/>
      </c>
      <c r="O7" s="145" t="str">
        <f t="shared" si="15"/>
        <v/>
      </c>
      <c r="P7" s="146"/>
      <c r="Q7" s="146"/>
      <c r="R7" s="146"/>
      <c r="S7" s="146"/>
      <c r="T7" s="146"/>
      <c r="U7" s="146"/>
      <c r="V7" s="146"/>
      <c r="W7" s="146"/>
      <c r="X7" s="146"/>
      <c r="Y7" s="146"/>
      <c r="Z7" s="146"/>
    </row>
    <row r="8" spans="1:26" ht="14.25" customHeight="1">
      <c r="A8" s="139"/>
      <c r="B8" s="147"/>
      <c r="C8" s="140"/>
      <c r="D8" s="142"/>
      <c r="E8" s="142"/>
      <c r="F8" s="143"/>
      <c r="G8" s="142"/>
      <c r="H8" s="144"/>
      <c r="I8" s="143"/>
      <c r="J8" s="143"/>
      <c r="K8" s="143"/>
      <c r="L8" s="143"/>
      <c r="M8" s="143"/>
      <c r="N8" s="143"/>
      <c r="O8" s="145"/>
      <c r="P8" s="146"/>
      <c r="Q8" s="146"/>
      <c r="R8" s="146"/>
      <c r="S8" s="146"/>
      <c r="T8" s="146"/>
      <c r="U8" s="146"/>
      <c r="V8" s="146"/>
      <c r="W8" s="146"/>
      <c r="X8" s="146"/>
      <c r="Y8" s="146"/>
      <c r="Z8" s="146"/>
    </row>
    <row r="9" spans="1:26" ht="14.25" customHeight="1" thickBot="1">
      <c r="A9" s="139"/>
      <c r="B9" s="148"/>
      <c r="C9" s="149"/>
      <c r="D9" s="150"/>
      <c r="E9" s="151"/>
      <c r="F9" s="151"/>
      <c r="G9" s="152"/>
      <c r="H9" s="153"/>
      <c r="I9" s="154"/>
      <c r="J9" s="154"/>
      <c r="K9" s="154"/>
      <c r="L9" s="154"/>
      <c r="M9" s="155"/>
      <c r="N9" s="155"/>
      <c r="O9" s="145"/>
      <c r="P9" s="146"/>
      <c r="Q9" s="146"/>
      <c r="R9" s="146"/>
      <c r="S9" s="146"/>
      <c r="T9" s="146"/>
      <c r="U9" s="146"/>
      <c r="V9" s="146"/>
      <c r="W9" s="146"/>
      <c r="X9" s="146"/>
      <c r="Y9" s="146"/>
      <c r="Z9" s="146"/>
    </row>
    <row r="10" spans="1:26" ht="15.75" customHeight="1" thickTop="1">
      <c r="A10" s="156"/>
      <c r="B10" s="157"/>
      <c r="C10" s="158"/>
      <c r="D10" s="274" t="s">
        <v>164</v>
      </c>
      <c r="E10" s="275"/>
      <c r="F10" s="275"/>
      <c r="G10" s="276"/>
      <c r="H10" s="159">
        <f t="shared" ref="H10:O10" si="16">SUM(H5:H9)</f>
        <v>0</v>
      </c>
      <c r="I10" s="159">
        <f>SUM(I2:I9)</f>
        <v>160</v>
      </c>
      <c r="J10" s="159">
        <f t="shared" si="16"/>
        <v>0</v>
      </c>
      <c r="K10" s="159">
        <f t="shared" si="16"/>
        <v>0</v>
      </c>
      <c r="L10" s="159">
        <f t="shared" si="16"/>
        <v>0</v>
      </c>
      <c r="M10" s="159">
        <f t="shared" si="16"/>
        <v>0</v>
      </c>
      <c r="N10" s="159">
        <f t="shared" si="16"/>
        <v>0</v>
      </c>
      <c r="O10" s="159">
        <f t="shared" si="16"/>
        <v>0</v>
      </c>
      <c r="P10" s="146"/>
      <c r="Q10" s="146"/>
      <c r="R10" s="146"/>
      <c r="S10" s="146"/>
      <c r="T10" s="146"/>
      <c r="U10" s="146"/>
      <c r="V10" s="146"/>
      <c r="W10" s="146"/>
      <c r="X10" s="146"/>
      <c r="Y10" s="146"/>
      <c r="Z10" s="146"/>
    </row>
    <row r="11" spans="1:26" ht="15.75" customHeight="1">
      <c r="A11" s="160"/>
      <c r="B11" s="161"/>
      <c r="C11" s="162"/>
      <c r="D11" s="268" t="s">
        <v>165</v>
      </c>
      <c r="E11" s="269"/>
      <c r="F11" s="269"/>
      <c r="G11" s="270"/>
      <c r="H11" s="163">
        <v>0.222</v>
      </c>
      <c r="I11" s="163">
        <v>0.39500000000000002</v>
      </c>
      <c r="J11" s="163">
        <v>0.61699999999999999</v>
      </c>
      <c r="K11" s="163">
        <v>0.88800000000000001</v>
      </c>
      <c r="L11" s="163">
        <v>1.208</v>
      </c>
      <c r="M11" s="163">
        <v>1.5780000000000001</v>
      </c>
      <c r="N11" s="163">
        <v>2.4660000000000002</v>
      </c>
      <c r="O11" s="164">
        <v>3.5510000000000002</v>
      </c>
      <c r="P11" s="146"/>
      <c r="Q11" s="165"/>
      <c r="R11" s="165"/>
      <c r="S11" s="165"/>
      <c r="T11" s="165"/>
      <c r="U11" s="165"/>
      <c r="V11" s="165"/>
      <c r="W11" s="165"/>
      <c r="X11" s="165"/>
      <c r="Y11" s="165"/>
      <c r="Z11" s="165"/>
    </row>
    <row r="12" spans="1:26" ht="15.75" customHeight="1" thickBot="1">
      <c r="A12" s="166"/>
      <c r="B12" s="167"/>
      <c r="C12" s="168"/>
      <c r="D12" s="271" t="s">
        <v>166</v>
      </c>
      <c r="E12" s="272"/>
      <c r="F12" s="272"/>
      <c r="G12" s="273"/>
      <c r="H12" s="169">
        <f t="shared" ref="H12:O12" si="17">H10*H11</f>
        <v>0</v>
      </c>
      <c r="I12" s="169">
        <f t="shared" si="17"/>
        <v>63.2</v>
      </c>
      <c r="J12" s="169">
        <f t="shared" si="17"/>
        <v>0</v>
      </c>
      <c r="K12" s="169">
        <f t="shared" si="17"/>
        <v>0</v>
      </c>
      <c r="L12" s="169">
        <f t="shared" si="17"/>
        <v>0</v>
      </c>
      <c r="M12" s="169">
        <f t="shared" si="17"/>
        <v>0</v>
      </c>
      <c r="N12" s="169">
        <f t="shared" si="17"/>
        <v>0</v>
      </c>
      <c r="O12" s="170">
        <f t="shared" si="17"/>
        <v>0</v>
      </c>
      <c r="P12" s="146"/>
      <c r="Q12" s="165"/>
      <c r="R12" s="165"/>
      <c r="S12" s="165"/>
      <c r="T12" s="165"/>
      <c r="U12" s="165"/>
      <c r="V12" s="165"/>
      <c r="W12" s="165"/>
      <c r="X12" s="165"/>
      <c r="Y12" s="165"/>
      <c r="Z12" s="165"/>
    </row>
    <row r="13" spans="1:26" ht="15" customHeight="1" thickTop="1"/>
  </sheetData>
  <sheetProtection algorithmName="SHA-512" hashValue="PtJLe58QsJjlLheA80hjN4M4DWWpsQIcYa2UiKNBcdACiAvkor+OqSfPVjqX/bt2Y5OjMbg/4SvjYt1H4Ij51Q==" saltValue="vX85bhe2qVe081WEry3iUg==" spinCount="100000" sheet="1" objects="1" scenarios="1"/>
  <mergeCells count="3">
    <mergeCell ref="D11:G11"/>
    <mergeCell ref="D12:G12"/>
    <mergeCell ref="D10:G10"/>
  </mergeCells>
  <pageMargins left="0.7" right="0.7" top="0.75" bottom="0.75" header="0" footer="0"/>
  <pageSetup scale="76" fitToHeight="0" orientation="landscape"/>
  <headerFooter>
    <oddFooter>&amp;LContractor_____________________&amp;RSupervisor_________________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H63"/>
  <sheetViews>
    <sheetView workbookViewId="0">
      <pane ySplit="1" topLeftCell="A2" activePane="bottomLeft" state="frozen"/>
      <selection pane="bottomLeft" activeCell="E2" sqref="E2"/>
    </sheetView>
  </sheetViews>
  <sheetFormatPr defaultColWidth="8.6640625" defaultRowHeight="14.4"/>
  <sheetData>
    <row r="1" spans="1:8">
      <c r="B1">
        <v>8</v>
      </c>
      <c r="C1">
        <v>10</v>
      </c>
      <c r="D1">
        <v>12</v>
      </c>
      <c r="E1">
        <v>14</v>
      </c>
      <c r="F1">
        <v>16</v>
      </c>
      <c r="G1">
        <v>20</v>
      </c>
      <c r="H1">
        <v>24</v>
      </c>
    </row>
    <row r="2" spans="1:8">
      <c r="A2" t="s">
        <v>33</v>
      </c>
      <c r="B2">
        <f>1.5*(5.058/0.13+1+5.04/0.13+1+4.7/0.13+1+6.04/0.13+1)</f>
        <v>246.43846153846152</v>
      </c>
      <c r="E2">
        <f>2*9+2*5.8+2*9+2.4+3.6+3.5+3.6+2.5+2*11.3+2*11.2+4.2+3.8+3.6+4.3</f>
        <v>124.10000000000001</v>
      </c>
    </row>
    <row r="3" spans="1:8">
      <c r="A3" t="s">
        <v>34</v>
      </c>
      <c r="B3">
        <f>1.5*(1194/130+1+3657/130+1+5190/130+1)</f>
        <v>120.3576923076923</v>
      </c>
      <c r="E3">
        <f>2*4.9+2*9+3.8+3.6+2.5+2*7+2*6.2+3.6+4.4</f>
        <v>72.100000000000009</v>
      </c>
    </row>
    <row r="4" spans="1:8">
      <c r="B4">
        <f>1.5*(4.45+6.3+5.6+5+2.8)/0.13</f>
        <v>278.65384615384613</v>
      </c>
      <c r="E4">
        <f>2*(8.4+5.55+11.5+2.2+11.2+6.2+8.4)+3.6+4+3.6+5.08+4.5+4+3.5</f>
        <v>135.17999999999998</v>
      </c>
    </row>
    <row r="5" spans="1:8">
      <c r="A5" t="s">
        <v>35</v>
      </c>
      <c r="B5">
        <f>1.5*(5.4/0.13+1)</f>
        <v>63.807692307692307</v>
      </c>
      <c r="E5">
        <f>2*(7.4+6.7)</f>
        <v>28.200000000000003</v>
      </c>
    </row>
    <row r="6" spans="1:8">
      <c r="A6" t="s">
        <v>36</v>
      </c>
      <c r="B6">
        <f>1.5*(5.35+5.8)/0.13</f>
        <v>128.65384615384613</v>
      </c>
      <c r="E6">
        <f>2*9.3+2*3.7+2.7+3.8+2.5+12*2+4.2+4.6</f>
        <v>67.8</v>
      </c>
    </row>
    <row r="7" spans="1:8">
      <c r="A7" t="s">
        <v>37</v>
      </c>
      <c r="B7">
        <f>1.5*(5.3+5.8)/0.13</f>
        <v>128.07692307692307</v>
      </c>
      <c r="E7">
        <f>2*(9.5+3.8+12)+2.7+3.8+2.5+4.2+4.6</f>
        <v>68.400000000000006</v>
      </c>
    </row>
    <row r="8" spans="1:8">
      <c r="A8" t="s">
        <v>38</v>
      </c>
      <c r="B8">
        <f>1.5*(5.3+5.8)/0.13</f>
        <v>128.07692307692307</v>
      </c>
      <c r="E8">
        <f>2*(9.5+3.8+12+12)+2.7+3.8+2.5</f>
        <v>83.6</v>
      </c>
    </row>
    <row r="9" spans="1:8">
      <c r="A9" t="s">
        <v>39</v>
      </c>
      <c r="B9">
        <f>1.5*(6200+5350+5850)/130</f>
        <v>200.76923076923077</v>
      </c>
      <c r="E9">
        <f>2*(4+12+4+2.8+6.8+6+6.6)+3.9+3.8+2.8</f>
        <v>94.9</v>
      </c>
    </row>
    <row r="10" spans="1:8">
      <c r="A10" t="s">
        <v>40</v>
      </c>
      <c r="B10">
        <f>1.5*(6.2+4.4)/0.13</f>
        <v>122.30769230769232</v>
      </c>
      <c r="E10">
        <f>2*(4.3+8.3+11.3)+3+3.6+1.5</f>
        <v>55.900000000000006</v>
      </c>
    </row>
    <row r="11" spans="1:8">
      <c r="B11">
        <f>1.5*(3.4/0.13)</f>
        <v>39.230769230769226</v>
      </c>
      <c r="E11">
        <f>2*(5.8+5.1)+1.45+2.6</f>
        <v>25.849999999999998</v>
      </c>
    </row>
    <row r="12" spans="1:8">
      <c r="A12" t="s">
        <v>41</v>
      </c>
      <c r="B12">
        <f>1.5*(5+5)/0.13</f>
        <v>115.38461538461539</v>
      </c>
      <c r="E12">
        <f>2*(9.5+4.4+6.2+7)+2.7+3.8+3</f>
        <v>63.7</v>
      </c>
    </row>
    <row r="13" spans="1:8">
      <c r="A13" t="s">
        <v>42</v>
      </c>
      <c r="B13">
        <f>1.5*(5.3+4.5+4.7)/0.13</f>
        <v>167.30769230769229</v>
      </c>
      <c r="F13">
        <f>2*12+7+3.8+6+4.6+4.6+3.8</f>
        <v>53.8</v>
      </c>
      <c r="G13">
        <f>4*4.4+4*4.4+2*3+4*3+5*7+5*7</f>
        <v>123.2</v>
      </c>
    </row>
    <row r="14" spans="1:8">
      <c r="A14" t="s">
        <v>43</v>
      </c>
      <c r="B14">
        <f>1.5*(1.9+6.3+5.6)/0.13</f>
        <v>159.23076923076923</v>
      </c>
      <c r="E14">
        <f>2*(8.5+6)+4.4</f>
        <v>33.4</v>
      </c>
      <c r="F14">
        <f>2*(6.4+8.9)+4.5+4+2.5</f>
        <v>41.6</v>
      </c>
    </row>
    <row r="15" spans="1:8">
      <c r="B15">
        <f>1.5*(5/0.13)</f>
        <v>57.692307692307693</v>
      </c>
      <c r="E15">
        <f>2*6.1+2.3+2.2+5.4*2+4.2</f>
        <v>31.7</v>
      </c>
    </row>
    <row r="16" spans="1:8">
      <c r="B16">
        <f>1.5*(2.8+2.5+5.4)/0.13</f>
        <v>123.46153846153844</v>
      </c>
      <c r="F16">
        <f>2*11.2+4.2</f>
        <v>26.599999999999998</v>
      </c>
      <c r="G16">
        <f>2*12+7.8+2.4</f>
        <v>34.200000000000003</v>
      </c>
    </row>
    <row r="17" spans="1:7">
      <c r="A17" t="s">
        <v>44</v>
      </c>
      <c r="B17">
        <f>1.5*(6.7+6.3+5.5+5)/0.13</f>
        <v>271.15384615384613</v>
      </c>
      <c r="E17">
        <f>2*(7.3+6.6+6+5.4)+5.2+4.5+4+3.85</f>
        <v>68.149999999999991</v>
      </c>
      <c r="F17">
        <f>2*(10.8+6.3+8.6+3)+4.4+4+3.5+2.3</f>
        <v>71.600000000000009</v>
      </c>
    </row>
    <row r="18" spans="1:7">
      <c r="A18" t="s">
        <v>34</v>
      </c>
      <c r="B18">
        <f>1.5*(7+6.3+5.6+5+2.8)/0.13</f>
        <v>308.07692307692304</v>
      </c>
      <c r="F18">
        <f>2*(7.8+5.6+7+8.2)+4.5+4.8+4</f>
        <v>70.5</v>
      </c>
      <c r="G18">
        <f>2*(10.7+6.3+11.4)+3+4.5+4+3+5</f>
        <v>76.3</v>
      </c>
    </row>
    <row r="19" spans="1:7">
      <c r="B19">
        <f>1.5*(1.6+5+5.6)/0.13</f>
        <v>140.76923076923075</v>
      </c>
      <c r="E19">
        <f>2*(7+6)+3.6+4.4</f>
        <v>34</v>
      </c>
      <c r="F19">
        <f>2*(4.7+8.9+3.6+2.5)+3.7</f>
        <v>43.100000000000009</v>
      </c>
    </row>
    <row r="20" spans="1:7">
      <c r="A20" t="s">
        <v>45</v>
      </c>
      <c r="B20">
        <f>1.5*(5.4+5.4+5)/0.13</f>
        <v>182.30769230769232</v>
      </c>
      <c r="F20">
        <f>2*(5.8+5.7+5.3+5.9)+4.2+3.8+3.5+4.5</f>
        <v>61.400000000000006</v>
      </c>
      <c r="G20">
        <f>2*(8.9+5.5+8.8)+2.4+3.8+3.5+3.55</f>
        <v>59.65</v>
      </c>
    </row>
    <row r="21" spans="1:7">
      <c r="A21" t="s">
        <v>36</v>
      </c>
      <c r="B21">
        <f>1.5*(3.8+6.2+5.4+5.9)/0.13</f>
        <v>245.76923076923077</v>
      </c>
      <c r="F21">
        <f>2*(10+5.7+6.5)+4.4+4.4</f>
        <v>53.199999999999996</v>
      </c>
      <c r="G21">
        <f>2*(7.3+12+3.85)+6.3+4+3.8+2.6</f>
        <v>63</v>
      </c>
    </row>
    <row r="22" spans="1:7">
      <c r="A22" t="s">
        <v>37</v>
      </c>
      <c r="B22">
        <f>1.5*(6.2+6.2+5.3+5.3)/0.13</f>
        <v>265.38461538461536</v>
      </c>
      <c r="F22">
        <f>4.4+3.8+4.6</f>
        <v>12.799999999999999</v>
      </c>
      <c r="G22">
        <f>2*(9.7+11.6+3.9)+4*2.6+4.2+3.9+3.8+2.5*4+5*8.42+2*6.5+2*5.6+6.3*2</f>
        <v>161.59999999999997</v>
      </c>
    </row>
    <row r="23" spans="1:7">
      <c r="A23" t="s">
        <v>38</v>
      </c>
      <c r="B23">
        <f>1.5*(7.5+6+5+5.5)/0.13</f>
        <v>276.92307692307691</v>
      </c>
      <c r="F23">
        <f>4.4+3.8+4.4+2*(7.9+6.5+5.7+5.5)</f>
        <v>63.800000000000004</v>
      </c>
      <c r="G23">
        <f>2*(11.2+11.8+4.1+3.7+2*2.8)+4.7+3.8+3.8+2.8</f>
        <v>87.899999999999991</v>
      </c>
    </row>
    <row r="24" spans="1:7">
      <c r="A24" t="s">
        <v>41</v>
      </c>
      <c r="B24">
        <f>1.5*(5.2+5.5+2.5)/0.13</f>
        <v>152.30769230769229</v>
      </c>
      <c r="F24">
        <f>2*(6.1+6.8+3.3)+4.15+4.6</f>
        <v>41.15</v>
      </c>
      <c r="G24">
        <f>2*(10+4.4+4+2.7+2*3.1)+3.8</f>
        <v>58.399999999999991</v>
      </c>
    </row>
    <row r="25" spans="1:7">
      <c r="A25" t="s">
        <v>42</v>
      </c>
      <c r="B25">
        <f>1.5*(2+6+5+5.3+1.4)/0.13</f>
        <v>227.30769230769226</v>
      </c>
      <c r="F25">
        <f>2*(8.7+5.7+7.8)+4.1+3.8+4.4</f>
        <v>56.699999999999996</v>
      </c>
      <c r="G25">
        <f>2*(6.1+11.7+5.2+4.9+3*2)+3.9+3.8</f>
        <v>75.5</v>
      </c>
    </row>
    <row r="26" spans="1:7">
      <c r="A26" t="s">
        <v>40</v>
      </c>
      <c r="B26">
        <f>1.5*(2.4+6+4.2+4)/0.13</f>
        <v>191.53846153846155</v>
      </c>
      <c r="F26">
        <f>2*(9.1+4.9+5.1)+4.4</f>
        <v>42.6</v>
      </c>
      <c r="G26">
        <f>2*(6.5+8.3+5.2+5.8+2.6*2)+3.6</f>
        <v>65.599999999999994</v>
      </c>
    </row>
    <row r="27" spans="1:7">
      <c r="A27" t="s">
        <v>46</v>
      </c>
      <c r="B27">
        <f>1.5*(6+5+5.4)/0.13</f>
        <v>189.2307692307692</v>
      </c>
      <c r="G27">
        <f>2*(9.9+9.5+2*2.8+2*2.8)+3.8+3.8+2*(6.6+5.7+6.5)+4.9+3.8+4.6</f>
        <v>119.7</v>
      </c>
    </row>
    <row r="28" spans="1:7">
      <c r="A28" t="s">
        <v>47</v>
      </c>
      <c r="B28">
        <f>1.5*(4.5+6)/0.13</f>
        <v>121.15384615384615</v>
      </c>
      <c r="F28">
        <f>3.4+4.7</f>
        <v>8.1</v>
      </c>
      <c r="G28">
        <f>2*(8.6+4.7+2.2+3.6+2*3.5)+5*(5.2+7.4)</f>
        <v>115.20000000000002</v>
      </c>
    </row>
    <row r="29" spans="1:7">
      <c r="A29" t="s">
        <v>48</v>
      </c>
      <c r="B29">
        <f>1.5*(3+4+3+3+5.3)/0.13</f>
        <v>211.15384615384616</v>
      </c>
      <c r="F29">
        <f>2.6+2.5+2.4+3.2+2.9+4.6</f>
        <v>18.2</v>
      </c>
      <c r="G29">
        <f>4*(10.1+11.9)+5*(11.4+10)+4*(2+2.7)</f>
        <v>213.8</v>
      </c>
    </row>
    <row r="30" spans="1:7">
      <c r="A30" t="s">
        <v>49</v>
      </c>
      <c r="B30">
        <f>1.5*(3.6+5+3.5)/0.13</f>
        <v>139.61538461538461</v>
      </c>
      <c r="F30">
        <f>2*(4.2+10)+3.4</f>
        <v>31.799999999999997</v>
      </c>
      <c r="G30">
        <f>2*(7.3+7.3+1.9)+3.1+3.1</f>
        <v>39.200000000000003</v>
      </c>
    </row>
    <row r="31" spans="1:7">
      <c r="A31" s="13" t="s">
        <v>50</v>
      </c>
    </row>
    <row r="32" spans="1:7">
      <c r="A32" t="s">
        <v>43</v>
      </c>
      <c r="B32">
        <f>3*1.5*(6.5+6.1+5.5)/0.13</f>
        <v>626.53846153846155</v>
      </c>
      <c r="F32">
        <f>3*(2*(7.2+6.6+6)+5.2+4.5+4.4)</f>
        <v>161.10000000000002</v>
      </c>
      <c r="G32">
        <f>3*(2*(10.7+9.5)+3+4.4+4+4*2.5)</f>
        <v>185.39999999999998</v>
      </c>
    </row>
    <row r="33" spans="1:7">
      <c r="B33">
        <f>3*1.5*(4.2+2.5+2.3+5.2)/0.13</f>
        <v>491.53846153846149</v>
      </c>
      <c r="F33">
        <f>3*(2*(5.4+11.2)+4.2+4.2)</f>
        <v>124.80000000000003</v>
      </c>
      <c r="G33">
        <f>3*2*(6.1+2.3+2.3+12+7.8+2*2.4)</f>
        <v>211.79999999999998</v>
      </c>
    </row>
    <row r="34" spans="1:7">
      <c r="A34" t="s">
        <v>34</v>
      </c>
      <c r="B34">
        <f>3*1.5*(5.5+4.8+2.5)/0.13</f>
        <v>443.07692307692309</v>
      </c>
      <c r="G34">
        <f>3*(4*8.9+2*6.1+4*2.5+2*3.8+4*5.1+2*6.1+2*6.2+4.4+3.9)</f>
        <v>356.1</v>
      </c>
    </row>
    <row r="35" spans="1:7">
      <c r="B35">
        <f>3*1.5*(1.6+4.8+5.4)/0.13</f>
        <v>408.46153846153845</v>
      </c>
      <c r="F35">
        <f>3*(2*(6.9+6)+3.7+4.4)</f>
        <v>101.69999999999999</v>
      </c>
      <c r="G35">
        <f>3*(2*(4.9+8.9+3.8+3.8)+2.5)</f>
        <v>135.9</v>
      </c>
    </row>
    <row r="36" spans="1:7">
      <c r="A36" t="s">
        <v>45</v>
      </c>
      <c r="B36">
        <f>3*1.5*(5.2+4.8+5+5+4.8+5.4)/0.13</f>
        <v>1045.3846153846155</v>
      </c>
      <c r="G36">
        <f>3*(2*(8.9+5.5+10.9+8.9+2.5+6+3.6+3.5+10.7+5.7+8.9+2*2.5+11)+3.6+3.5+3.6+4.4+3.6+3.8+3.8+3.6+4.4)</f>
        <v>649.50000000000011</v>
      </c>
    </row>
    <row r="37" spans="1:7">
      <c r="A37" t="s">
        <v>37</v>
      </c>
      <c r="B37">
        <f>3*1.5*(6+6+5+5.5)/0.13</f>
        <v>778.84615384615381</v>
      </c>
      <c r="F37">
        <f>3*(2*(6.5+6.5+5.7+6.3)+4.4+3.8+4.4)</f>
        <v>187.79999999999998</v>
      </c>
      <c r="G37">
        <f>3*(2*(9.8+11.7+3.9+2.6+2.6)+4.2+3.9+3.8)</f>
        <v>219.3</v>
      </c>
    </row>
    <row r="38" spans="1:7">
      <c r="A38" t="s">
        <v>44</v>
      </c>
      <c r="B38">
        <f>3*1.5*(6.5+6+5.2+4.8+5+5)/0.13</f>
        <v>1125</v>
      </c>
      <c r="F38">
        <f>3*(2*(7.3+6.6+10.9+11.2)+4.2+3.8+3.5+4+4.5+5.2)</f>
        <v>291.60000000000002</v>
      </c>
      <c r="G38">
        <f>3*(2*(10.8+8.3+10.9+8.9+3+4+2*2.4)+3.6+3.5+3.6+4.4)</f>
        <v>349.49999999999994</v>
      </c>
    </row>
    <row r="39" spans="1:7">
      <c r="A39" t="s">
        <v>38</v>
      </c>
      <c r="B39">
        <f>3*1.5*(7.4+6+5+5)/0.13</f>
        <v>810</v>
      </c>
      <c r="F39">
        <f>3*(2*(7.9)+6.5+2*5.7+2*8.5+4.5+3.8+4.4)</f>
        <v>190.2</v>
      </c>
      <c r="G39">
        <f>3*(2*(2*11.2+11.7+4.1+3.9+2.8)+4.7+3.9+3.8)</f>
        <v>306.59999999999997</v>
      </c>
    </row>
    <row r="40" spans="1:7">
      <c r="A40" t="s">
        <v>42</v>
      </c>
      <c r="B40">
        <f>3*1.5*(2+6+5+5.5+1.2)/0.13</f>
        <v>681.92307692307679</v>
      </c>
      <c r="F40">
        <f>3*(2*(8.9+5.7+7.9)+4.9+3.8+4.6)</f>
        <v>174.89999999999998</v>
      </c>
      <c r="G40">
        <f>3*(2*(6+11.7+5.2+4.9+2*3.1)+3.9+3.8)</f>
        <v>227.10000000000002</v>
      </c>
    </row>
    <row r="41" spans="1:7">
      <c r="A41" t="s">
        <v>46</v>
      </c>
      <c r="B41">
        <f>3*1.5*(6+5+5.5)/0.13</f>
        <v>571.15384615384619</v>
      </c>
      <c r="F41">
        <f>3*((2*6.7+5.9+6.5)+4.9+3.8+4.6)</f>
        <v>117.30000000000001</v>
      </c>
      <c r="G41">
        <f>3*(2*(9.7+4.1+2.8+2.8)+3.9+3.8)</f>
        <v>139.49999999999997</v>
      </c>
    </row>
    <row r="42" spans="1:7">
      <c r="A42" t="s">
        <v>41</v>
      </c>
      <c r="B42">
        <f>3*1.5*(5+5.5)/0.13</f>
        <v>363.46153846153845</v>
      </c>
      <c r="E42">
        <f>3*(2*(6.2+7)+4.2+4.6)</f>
        <v>105.6</v>
      </c>
      <c r="F42">
        <f>3*((2*9.5+4.2+2*2.7)+3.8+3.1)</f>
        <v>106.5</v>
      </c>
    </row>
    <row r="43" spans="1:7">
      <c r="A43" t="s">
        <v>51</v>
      </c>
      <c r="B43">
        <f>6*(8/0.13)</f>
        <v>369.23076923076917</v>
      </c>
      <c r="F43">
        <f>6*(2*9.1+6.9)</f>
        <v>150.60000000000002</v>
      </c>
      <c r="G43">
        <f>6*(2*(9.8+3.5+2*3.7))</f>
        <v>248.40000000000003</v>
      </c>
    </row>
    <row r="44" spans="1:7">
      <c r="B44">
        <f>6*1.5*(3.5/0.13)</f>
        <v>242.30769230769232</v>
      </c>
      <c r="F44">
        <f>6*(2*5.1)</f>
        <v>61.199999999999996</v>
      </c>
      <c r="G44">
        <f>6*(2*(5.8+2*1.9+2*2.6))</f>
        <v>177.60000000000002</v>
      </c>
    </row>
    <row r="45" spans="1:7">
      <c r="A45" t="s">
        <v>41</v>
      </c>
      <c r="B45">
        <f>3*1.5*(4/0.13)</f>
        <v>138.46153846153845</v>
      </c>
      <c r="F45">
        <f>3*(2*5.1)</f>
        <v>30.599999999999998</v>
      </c>
      <c r="G45">
        <f>3*(2*5.8+2.4+1.9*2)</f>
        <v>53.400000000000006</v>
      </c>
    </row>
    <row r="46" spans="1:7">
      <c r="A46" t="s">
        <v>52</v>
      </c>
      <c r="B46">
        <f>3*(6+5+5.5+3.5)/0.13</f>
        <v>461.53846153846155</v>
      </c>
      <c r="E46">
        <f>3*(2*4.3)</f>
        <v>25.799999999999997</v>
      </c>
      <c r="F46">
        <f>3*(2*(11.7+3.9+4.9+3.9+3.8+2.6+6.8+5.7+6.3)+4.4+3.8+4.6)</f>
        <v>336</v>
      </c>
      <c r="G46">
        <f>3*(2*(3.8+2*2.9))</f>
        <v>57.599999999999994</v>
      </c>
    </row>
    <row r="47" spans="1:7">
      <c r="A47" t="s">
        <v>53</v>
      </c>
      <c r="B47">
        <f>6*1.5*(4.4+5.8)/0.13</f>
        <v>706.15384615384608</v>
      </c>
      <c r="F47">
        <f>6*(2*(3.6+3.4+4.6))</f>
        <v>139.19999999999999</v>
      </c>
      <c r="G47">
        <f>6*(4*(8.4+4.5+2.2+3.5)+5*(5+7.2))</f>
        <v>812.40000000000009</v>
      </c>
    </row>
    <row r="48" spans="1:7">
      <c r="A48" t="s">
        <v>48</v>
      </c>
      <c r="B48">
        <f>3*(3+3.8+3+3+5.5+4.2+5)/0.13</f>
        <v>634.61538461538464</v>
      </c>
      <c r="F48">
        <f>3*(2*(11.4+9.7+10.4)+4.2+3.3+4.6+2.9)</f>
        <v>234</v>
      </c>
      <c r="G48">
        <f>3*(2*(10.1+8.4+5.5+2+8.6+2*2.5)+3.3+3.2+2.4+2.5+2.6)</f>
        <v>279.60000000000002</v>
      </c>
    </row>
    <row r="49" spans="1:8">
      <c r="A49" t="s">
        <v>49</v>
      </c>
      <c r="B49">
        <f>3*(3.4+5+3.4)/0.13</f>
        <v>272.30769230769232</v>
      </c>
      <c r="F49">
        <f>3*(2*(4.2+9.6)+3.8)</f>
        <v>94.2</v>
      </c>
      <c r="G49">
        <f>3*(2*(7.2+7.3+1.9+1.9)+3.1+3.1)</f>
        <v>128.39999999999998</v>
      </c>
    </row>
    <row r="50" spans="1:8">
      <c r="A50" t="s">
        <v>54</v>
      </c>
    </row>
    <row r="51" spans="1:8">
      <c r="A51" t="s">
        <v>45</v>
      </c>
      <c r="B51">
        <f>6*1.5*(5.2+4.8+5+5+4.8+5.4)/0.13</f>
        <v>2090.7692307692309</v>
      </c>
      <c r="G51">
        <f>6*(2*(8.9+5.5+10.9+8.9+2.5+6+3.6+3.5+10.7+5.7+8.9+2*2.5+11)+3.6+3.5+3.6+4.4+3.6+3.8+3.8+3.6+4.4)</f>
        <v>1299.0000000000002</v>
      </c>
    </row>
    <row r="52" spans="1:8">
      <c r="A52" t="s">
        <v>34</v>
      </c>
      <c r="B52">
        <f>6*1.5*(5.5+4.8+2.5)/0.13</f>
        <v>886.15384615384619</v>
      </c>
      <c r="G52">
        <f>6*(4*8.9+2*6.1+4*2.5+2*3.8+4*5.1+2*6.1+2*6.2+4.4+3.9)</f>
        <v>712.2</v>
      </c>
    </row>
    <row r="53" spans="1:8">
      <c r="B53">
        <f>6*1.5*(1.6+4.8+5.4)/0.13</f>
        <v>816.92307692307691</v>
      </c>
      <c r="F53">
        <f>6*(2*(6.9+6)+3.7+4.4)</f>
        <v>203.39999999999998</v>
      </c>
      <c r="G53">
        <f>6*(2*(4.9+8.9+3.8+3.8)+2.5)</f>
        <v>271.8</v>
      </c>
    </row>
    <row r="54" spans="1:8">
      <c r="A54" t="s">
        <v>43</v>
      </c>
      <c r="B54">
        <f>6*1.5*(2.4+2.5+4.2)/0.13</f>
        <v>630</v>
      </c>
      <c r="F54">
        <f>3*(2*(12)+4.2)</f>
        <v>84.6</v>
      </c>
      <c r="G54">
        <f>3*(2*(12+2*7.8+2*2.4))</f>
        <v>194.39999999999998</v>
      </c>
    </row>
    <row r="55" spans="1:8">
      <c r="A55" t="s">
        <v>46</v>
      </c>
      <c r="B55">
        <f>6*1.5*(6+5+5.5)/0.13</f>
        <v>1142.3076923076924</v>
      </c>
      <c r="F55">
        <f>6*((2*6.7+2*5.7+2*6.5)+4.9+3.8+4.6)</f>
        <v>306.59999999999997</v>
      </c>
      <c r="G55">
        <f>6*(2*(9.7+9.5+2*2.8+2*2.8)+3.9+3.8)</f>
        <v>411</v>
      </c>
    </row>
    <row r="56" spans="1:8">
      <c r="A56" t="s">
        <v>38</v>
      </c>
      <c r="B56">
        <f>6*1.5*(6+5+5)/0.13</f>
        <v>1107.6923076923076</v>
      </c>
      <c r="F56">
        <f>6*(2*(6.9+5.7+6.5)+3.9+3.8+4.9+3.8+4.6)</f>
        <v>355.2</v>
      </c>
      <c r="G56">
        <f>6*(2*(9.7+4.1+2.8+2.8))</f>
        <v>232.79999999999998</v>
      </c>
    </row>
    <row r="57" spans="1:8">
      <c r="A57" t="s">
        <v>55</v>
      </c>
      <c r="B57">
        <f>12*1.5*(6+5+5.5+1.2)/0.13</f>
        <v>2450.7692307692305</v>
      </c>
      <c r="F57">
        <f>3*(2*(7.8+5.7+7.9)+4.9+3.8+4.6)</f>
        <v>168.29999999999998</v>
      </c>
      <c r="G57">
        <f>12*(2*(5+11.7+5.2+3.8+2*3.1)+3.9+3.8)</f>
        <v>858</v>
      </c>
    </row>
    <row r="58" spans="1:8">
      <c r="A58" t="s">
        <v>40</v>
      </c>
      <c r="B58">
        <f>6*((2.4+6+4)/0.13)</f>
        <v>572.30769230769238</v>
      </c>
      <c r="F58">
        <f>6*(2*(9.1+4.7)+4.4)</f>
        <v>192</v>
      </c>
      <c r="G58">
        <f>6*(2*(6.5+8.3+5.2+2)+3.6)</f>
        <v>285.60000000000002</v>
      </c>
    </row>
    <row r="59" spans="1:8">
      <c r="B59">
        <f>6*(4/0.13)</f>
        <v>184.61538461538458</v>
      </c>
      <c r="G59">
        <f>6*(2*5.8+5.1+2*2+2*2.6)</f>
        <v>155.39999999999998</v>
      </c>
    </row>
    <row r="60" spans="1:8">
      <c r="A60" t="s">
        <v>47</v>
      </c>
      <c r="B60">
        <f>12*1.5*(4.4+5.8)/0.13</f>
        <v>1412.3076923076922</v>
      </c>
      <c r="F60">
        <f>12*(2*(3.6+3.4+4.6))</f>
        <v>278.39999999999998</v>
      </c>
      <c r="G60">
        <f>12*(4*(8.4+4.5+2.2+3.5)+5*(5+7.2))</f>
        <v>1624.8000000000002</v>
      </c>
    </row>
    <row r="61" spans="1:8">
      <c r="A61" t="s">
        <v>48</v>
      </c>
      <c r="B61">
        <f>6*(6+4+3+5.5+4.2+5)/0.13</f>
        <v>1278.4615384615383</v>
      </c>
      <c r="F61">
        <f>3*(2*(11.4+9.7+10.4)+4.2+3.3+4.6+2.9)</f>
        <v>234</v>
      </c>
      <c r="G61">
        <f>6*(2*(4.3+8+11.2+8+4.6+2*3.5+3.6+2*3.4)+3.4+3.7+3.4+3.6)</f>
        <v>726.6</v>
      </c>
    </row>
    <row r="62" spans="1:8">
      <c r="A62" t="s">
        <v>56</v>
      </c>
      <c r="B62">
        <f>12*(3.4+5+3.4)/0.13</f>
        <v>1089.2307692307693</v>
      </c>
      <c r="F62">
        <f>12*(2*(4.2+9.6)+3.8)</f>
        <v>376.8</v>
      </c>
      <c r="G62">
        <f>12*(2*(7.2+7.3+1.9+1.9)+3.1+3.1)</f>
        <v>513.59999999999991</v>
      </c>
    </row>
    <row r="63" spans="1:8" s="13" customFormat="1">
      <c r="A63" s="13" t="s">
        <v>57</v>
      </c>
      <c r="B63" s="13">
        <f>SUM(B2:B62)</f>
        <v>28833.680769230767</v>
      </c>
      <c r="C63" s="13">
        <f t="shared" ref="C63:H63" si="0">SUM(C2:C62)</f>
        <v>0</v>
      </c>
      <c r="D63" s="13">
        <f t="shared" si="0"/>
        <v>0</v>
      </c>
      <c r="E63" s="13">
        <f t="shared" si="0"/>
        <v>1118.3799999999999</v>
      </c>
      <c r="F63" s="13">
        <f t="shared" si="0"/>
        <v>5397.95</v>
      </c>
      <c r="G63" s="13">
        <f t="shared" si="0"/>
        <v>13116.55</v>
      </c>
      <c r="H63" s="13">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6</vt:i4>
      </vt:variant>
    </vt:vector>
  </HeadingPairs>
  <TitlesOfParts>
    <vt:vector size="13" baseType="lpstr">
      <vt:lpstr>Cover Page</vt:lpstr>
      <vt:lpstr>preamble to BOQ</vt:lpstr>
      <vt:lpstr>Summary</vt:lpstr>
      <vt:lpstr>BOQ</vt:lpstr>
      <vt:lpstr>TO-1</vt:lpstr>
      <vt:lpstr>Re-bar</vt:lpstr>
      <vt:lpstr>Rebar</vt:lpstr>
      <vt:lpstr>BOQ!Area_stampa</vt:lpstr>
      <vt:lpstr>'Cover Page'!Area_stampa</vt:lpstr>
      <vt:lpstr>'preamble to BOQ'!Area_stampa</vt:lpstr>
      <vt:lpstr>'Re-bar'!Area_stampa</vt:lpstr>
      <vt:lpstr>Summary!Area_stampa</vt:lpstr>
      <vt:lpstr>BOQ!Titoli_stampa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cuamm</cp:lastModifiedBy>
  <cp:lastPrinted>2024-09-17T10:21:53Z</cp:lastPrinted>
  <dcterms:created xsi:type="dcterms:W3CDTF">2013-05-22T17:33:18Z</dcterms:created>
  <dcterms:modified xsi:type="dcterms:W3CDTF">2025-01-08T15:12:39Z</dcterms:modified>
</cp:coreProperties>
</file>